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2" activeTab="2"/>
  </bookViews>
  <sheets>
    <sheet name="Баланс" sheetId="1" r:id="rId1"/>
    <sheet name="Топливо газ" sheetId="2" r:id="rId2"/>
    <sheet name="смета 2017" sheetId="3" r:id="rId3"/>
    <sheet name="Индексы" sheetId="4" r:id="rId4"/>
    <sheet name="население" sheetId="5" r:id="rId5"/>
    <sheet name="Трубопроводы" sheetId="6" r:id="rId6"/>
    <sheet name="Условные единицы" sheetId="7" r:id="rId7"/>
  </sheets>
  <definedNames/>
  <calcPr fullCalcOnLoad="1"/>
</workbook>
</file>

<file path=xl/sharedStrings.xml><?xml version="1.0" encoding="utf-8"?>
<sst xmlns="http://schemas.openxmlformats.org/spreadsheetml/2006/main" count="639" uniqueCount="402">
  <si>
    <t>№</t>
  </si>
  <si>
    <t>Σ</t>
  </si>
  <si>
    <t>Характеристики тепловой сети</t>
  </si>
  <si>
    <t>Диаметр (наибольший), мм</t>
  </si>
  <si>
    <t xml:space="preserve">Протяженность участка тепловой сети                          (в двухтрубном исполнении), км </t>
  </si>
  <si>
    <t>Таблица № 1</t>
  </si>
  <si>
    <t>Количество условных единиц при двухтрубной прокладке тепловых сетей, у.е                (ст. 6 + ст. 7)</t>
  </si>
  <si>
    <t>Характеристика участка тепловой сети &lt;1&gt;</t>
  </si>
  <si>
    <t>Средний диаметр, мм &lt;2&gt;</t>
  </si>
  <si>
    <t>Количество условных единиц при d ср. 100 мм &lt;3&gt;</t>
  </si>
  <si>
    <t>Количество условных единиц, приходящиеся на каждый следующий 1 мм среднего диаметра теплопроводов &lt;4&gt;</t>
  </si>
  <si>
    <t>Порядок расчёта условных единиц по обслуживанию и ремонту трубопроводов</t>
  </si>
  <si>
    <t>Приложение 2</t>
  </si>
  <si>
    <t>Наименование показателей</t>
  </si>
  <si>
    <t>Единица измерения</t>
  </si>
  <si>
    <t xml:space="preserve">
Количество условных единиц на единицу измерения
</t>
  </si>
  <si>
    <t>2. Тепловой узел на балансе ПТС</t>
  </si>
  <si>
    <t>1 узел</t>
  </si>
  <si>
    <t>3. Подкачивающая насосная станция на балансе ПТС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</si>
  <si>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</si>
  <si>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</si>
  <si>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</si>
  <si>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1. Двухтрубная тепломагистраль на балансе предприятий средним диаметром
диам. ср. = 100 мм
На каждый следующий 1 мм среднего диаметра тепломагистрали</t>
  </si>
  <si>
    <t xml:space="preserve">1 км
1 км
</t>
  </si>
  <si>
    <t xml:space="preserve">  Примечания:
  1. Средний диаметр рассчитывается как средневзвешенная величина исходя из соответствующих диаметров и длин участков сетей.
  2. Для однотрубных участков теплопроводов вводятся коэффициенты 0,75, для трехтрубных - 1,25 и для четырехтрубных - 1,5.
  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
  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
  5. Подкачивающие насосные станции, предназначенные для перекачки сетевой воды, расположены на магистральных тепловых сетях и находятся на балансе ПТС.
</t>
  </si>
  <si>
    <t>Приложение 3</t>
  </si>
  <si>
    <t xml:space="preserve">КОЛИЧЕСТВО УСЛОВНЫХ ЕДИНИЦ, ОТНОСИМЫХ К АКТИВАМ ОРГАНИЗАЦИИ,
ОСУЩЕСТВЛЯЮЩЕЙ ДЕЯТЕЛЬНОСТЬ ПО ПЕРЕДАЧЕ ТЕПЛОВОЙ ЭНЕРГИИ,
</t>
  </si>
  <si>
    <t>ВСЕГО</t>
  </si>
  <si>
    <t>12 и более</t>
  </si>
  <si>
    <t>6-7</t>
  </si>
  <si>
    <t>4-5</t>
  </si>
  <si>
    <t xml:space="preserve">Многоквартирные жилые дома после 1999 года постройки </t>
  </si>
  <si>
    <t>16 и более</t>
  </si>
  <si>
    <t>Многоквартирные жилые дома до 1999 года постройки включительно</t>
  </si>
  <si>
    <t>площадь, к которой не применяется норматив по отоплению (приботы учёта)</t>
  </si>
  <si>
    <t>площадь, к которой применяется норматив по отоплению</t>
  </si>
  <si>
    <t>по показаниям приборов учёта</t>
  </si>
  <si>
    <t>с учётом применения нормативов  (ст. 2 * ст. 8)</t>
  </si>
  <si>
    <t>месяц                                (из расчета 7 месяцев)</t>
  </si>
  <si>
    <t>Общее количество тепловой энергии на МД или ЖД, Гкал (проверка)</t>
  </si>
  <si>
    <t>год</t>
  </si>
  <si>
    <t xml:space="preserve">Расчетный норматив потребления по отплению в ж и не/ж помещениях Гкал/кв.м/год          </t>
  </si>
  <si>
    <t>Норматив потребления по отплению в ж и не/ж помещениях Гкал/кв.м/месяц   (формула 18)                      N o</t>
  </si>
  <si>
    <t>Количество установленных приборов учёта</t>
  </si>
  <si>
    <t>в том числе</t>
  </si>
  <si>
    <t>Суммарная отапливаемая площадь жилых и нежилых помещений, тыс. кв. м  (ст. 8 + ст. 9)</t>
  </si>
  <si>
    <r>
      <t xml:space="preserve">** </t>
    </r>
    <r>
      <rPr>
        <sz val="10"/>
        <rFont val="Arial Cyr"/>
        <family val="0"/>
      </rPr>
      <t>Годовой объём потребления тепловой энергии на нужды отопления, тыс. Гкал    (ст. 5 + ст. 6)</t>
    </r>
  </si>
  <si>
    <t xml:space="preserve">Прогнозируемый норматив потребления коммунальной услуги по отоплению в жилых и нежилых помещениях с 01.01.2015,  Гкал/кв. м      </t>
  </si>
  <si>
    <t>Вариант 2 без изм.</t>
  </si>
  <si>
    <t>Вариант 1 с изм в № 306</t>
  </si>
  <si>
    <t>Кол-во тепловой энергии                Гкал/год  (формула 19)       Q o</t>
  </si>
  <si>
    <t>Часовая тепловая нагрузка             Ккал в час (формула 20)                     q max</t>
  </si>
  <si>
    <t>Общая площадь МОП (л/клетки, входящих в состав ОИ), кв.м</t>
  </si>
  <si>
    <t>Общая площадь всех ж и не/ж помещений (магазины), кв.м</t>
  </si>
  <si>
    <t>Количество этажей</t>
  </si>
  <si>
    <r>
      <t xml:space="preserve">Расчёт объёмов полезного отпуска тепловой энергии, используемой на нужды отопления жилых домов     (с учётом встроенных нежилых помещений)  </t>
    </r>
    <r>
      <rPr>
        <b/>
        <sz val="11"/>
        <rFont val="Arial Cyr"/>
        <family val="0"/>
      </rPr>
      <t>*</t>
    </r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</si>
  <si>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</si>
  <si>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</si>
  <si>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</si>
  <si>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</si>
  <si>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</si>
  <si>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</si>
  <si>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</si>
  <si>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</si>
  <si>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</si>
  <si>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</si>
  <si>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</si>
  <si>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</si>
  <si>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Год</t>
  </si>
  <si>
    <t>кот.2</t>
  </si>
  <si>
    <t>Кот.1</t>
  </si>
  <si>
    <t>Всего</t>
  </si>
  <si>
    <t>Численность населения</t>
  </si>
  <si>
    <t>Объем</t>
  </si>
  <si>
    <t>Технологические нужды</t>
  </si>
  <si>
    <t>ГВС</t>
  </si>
  <si>
    <t>Отопление</t>
  </si>
  <si>
    <t>6.5. Собственное потребление</t>
  </si>
  <si>
    <t>6.4.Организации - переродавцы</t>
  </si>
  <si>
    <t>6.3. Прочие</t>
  </si>
  <si>
    <t>6.2. Население</t>
  </si>
  <si>
    <t>6.1. Бюджетные потребители</t>
  </si>
  <si>
    <t>В том числе</t>
  </si>
  <si>
    <t>6. Полезный отпуск тепловой энергии</t>
  </si>
  <si>
    <t>Потери тепловой энергии в сети</t>
  </si>
  <si>
    <t>Отпуск тепловой энергии от котельной</t>
  </si>
  <si>
    <t>Потери т/э на собств. нужды котельной</t>
  </si>
  <si>
    <t>Покупная тепловая энергия</t>
  </si>
  <si>
    <t>Произведённая тепловая энергия</t>
  </si>
  <si>
    <t>Месяцы</t>
  </si>
  <si>
    <t>Адрес котельной</t>
  </si>
  <si>
    <t>Вид топлива</t>
  </si>
  <si>
    <t>Наименование котельной</t>
  </si>
  <si>
    <t>Муниципальное образование</t>
  </si>
  <si>
    <t>Муниципальный район</t>
  </si>
  <si>
    <t>да</t>
  </si>
  <si>
    <t>Кот.№6</t>
  </si>
  <si>
    <t>Кот.№5</t>
  </si>
  <si>
    <t>Кот.№4</t>
  </si>
  <si>
    <t xml:space="preserve">  </t>
  </si>
  <si>
    <t>Кот.№3</t>
  </si>
  <si>
    <t>Кот.№2</t>
  </si>
  <si>
    <t>Кот.№1</t>
  </si>
  <si>
    <t>ВСЕГО:</t>
  </si>
  <si>
    <t>Стоимость топлива, тыс. руб.</t>
  </si>
  <si>
    <t>Цена газа, руб./1000 нм3</t>
  </si>
  <si>
    <t>Транспортировка</t>
  </si>
  <si>
    <t>Поставщик топлива</t>
  </si>
  <si>
    <t>Категория (группа)</t>
  </si>
  <si>
    <t>Объем топлива (отпуск теплоэнергии)</t>
  </si>
  <si>
    <t>Объем топлива (произведенная энергия)</t>
  </si>
  <si>
    <t>Калорийный эквивалент</t>
  </si>
  <si>
    <t>Удельный расход условного топлива,       кг у т /Гкал отпущенной теплоэнергии</t>
  </si>
  <si>
    <t>Удельный расход условного топлива,       кг у т /Гкал произведенной теплоэнергии</t>
  </si>
  <si>
    <t>Плановые объёмы тепловой энергии (по каждому муниципальному образованию) 2017 год в целом, в том числе в разрезе по котельным</t>
  </si>
  <si>
    <t>Проверка полезного отпуска</t>
  </si>
  <si>
    <t>прочие потребители</t>
  </si>
  <si>
    <t>бюджет</t>
  </si>
  <si>
    <t>население</t>
  </si>
  <si>
    <t>в том числе:</t>
  </si>
  <si>
    <t>Объем реализованной теплоэнергии потребителям, через тепловую сеть без учёта организаций - перепродавцов, тыс. Гкал</t>
  </si>
  <si>
    <t>Полезный отпуск организациям-перепродавцам, всего</t>
  </si>
  <si>
    <t>Полезный отпуск на нужды теплоснабжающей организации</t>
  </si>
  <si>
    <t>Полезный отпуск теплоэнергии, тыс. Гкал</t>
  </si>
  <si>
    <t>То же, в %</t>
  </si>
  <si>
    <t>Потери в тепловых сетях, тыс. Гкал</t>
  </si>
  <si>
    <t>Потери на собст нужды котельной, тыс. Гкал</t>
  </si>
  <si>
    <t>% потерь тепловой энергии</t>
  </si>
  <si>
    <t>Отпуск в сеть, тыс. Гкал</t>
  </si>
  <si>
    <t>Покупная теплоэнергия, тыс. Гкал</t>
  </si>
  <si>
    <r>
      <t xml:space="preserve">Произведён. т/энергия, </t>
    </r>
    <r>
      <rPr>
        <sz val="11"/>
        <rFont val="Arial"/>
        <family val="2"/>
      </rPr>
      <t>тыс. Гкал</t>
    </r>
  </si>
  <si>
    <t>тыс.руб.</t>
  </si>
  <si>
    <t>Необходимая валовая выручка без НДС</t>
  </si>
  <si>
    <t>S.1</t>
  </si>
  <si>
    <t>Прибыль</t>
  </si>
  <si>
    <t>П</t>
  </si>
  <si>
    <t>Расходы на приобретение (производство) энергетических ресурсов</t>
  </si>
  <si>
    <t>ЭР</t>
  </si>
  <si>
    <t>Неподконтрольные расходы</t>
  </si>
  <si>
    <t>НР</t>
  </si>
  <si>
    <t>Операционные расходы</t>
  </si>
  <si>
    <t>ОР</t>
  </si>
  <si>
    <t>Рост к уровню 2016 года</t>
  </si>
  <si>
    <t>руб./Гкал</t>
  </si>
  <si>
    <t>Тариф для населения</t>
  </si>
  <si>
    <t>Удельные затраты на топливо</t>
  </si>
  <si>
    <t>В том числе расходы на передачу</t>
  </si>
  <si>
    <t>Тариф</t>
  </si>
  <si>
    <t>тыс. Гкал</t>
  </si>
  <si>
    <t>Полезный отпуск теплоэнергии</t>
  </si>
  <si>
    <t>Необходимая валовая выручка</t>
  </si>
  <si>
    <t>%</t>
  </si>
  <si>
    <t>Индекс количества активов</t>
  </si>
  <si>
    <t xml:space="preserve"> </t>
  </si>
  <si>
    <t>Индекс потребительских цен</t>
  </si>
  <si>
    <t>Индекс эффективности расходов</t>
  </si>
  <si>
    <t>Капитальные вложения (инвестиции)</t>
  </si>
  <si>
    <t>Резервный фонд</t>
  </si>
  <si>
    <t>Денежные выплаты социального характера (по коллективному договору)</t>
  </si>
  <si>
    <t>нормативный уровень прибыли</t>
  </si>
  <si>
    <t>28</t>
  </si>
  <si>
    <t>Избыток средств, полученный за отчётные периоды регулирования</t>
  </si>
  <si>
    <t>27</t>
  </si>
  <si>
    <t>Выпадающие доходы/экономия средств</t>
  </si>
  <si>
    <t>26</t>
  </si>
  <si>
    <t>Итого расходы</t>
  </si>
  <si>
    <t>25</t>
  </si>
  <si>
    <t>Налог на прибыль</t>
  </si>
  <si>
    <t>24</t>
  </si>
  <si>
    <t>Прочие неподконтрольные расходы</t>
  </si>
  <si>
    <t>23</t>
  </si>
  <si>
    <t>Расходы на выплаты по договорам займа и кредитным договорам, включая проценты по ним</t>
  </si>
  <si>
    <t>22</t>
  </si>
  <si>
    <t>Амортизация иных основных средств и нематериальных активов</t>
  </si>
  <si>
    <t>21.2</t>
  </si>
  <si>
    <t>Амортизация производственного оборудования</t>
  </si>
  <si>
    <t>21.1</t>
  </si>
  <si>
    <t>Амортизация основных средств и нематериальных активов</t>
  </si>
  <si>
    <t>21</t>
  </si>
  <si>
    <t>Расходы по сомнительным долгам</t>
  </si>
  <si>
    <t>20</t>
  </si>
  <si>
    <t>прочие налоги</t>
  </si>
  <si>
    <t>19.4.5</t>
  </si>
  <si>
    <t>водный налог</t>
  </si>
  <si>
    <t>19.4.4</t>
  </si>
  <si>
    <t>транспортный налог</t>
  </si>
  <si>
    <t>19.4.3</t>
  </si>
  <si>
    <t>земельный налог</t>
  </si>
  <si>
    <t>19.4.2</t>
  </si>
  <si>
    <t>налог на имущество организаций</t>
  </si>
  <si>
    <t>19.4.1</t>
  </si>
  <si>
    <t>уплата налогов, всего</t>
  </si>
  <si>
    <t>19.4.</t>
  </si>
  <si>
    <t>иные расходы</t>
  </si>
  <si>
    <t>19.3.</t>
  </si>
  <si>
    <t>расходы на обязательное страхование</t>
  </si>
  <si>
    <t>19.2.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</si>
  <si>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</si>
  <si>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19.1.</t>
  </si>
  <si>
    <t>Расходы на уплату налогов, сборов и других обязательных платежей, в том числе:</t>
  </si>
  <si>
    <t>19</t>
  </si>
  <si>
    <t>Концессионная плата</t>
  </si>
  <si>
    <t>18</t>
  </si>
  <si>
    <t>аренда непроизводственных объектов</t>
  </si>
  <si>
    <t>17.2.</t>
  </si>
  <si>
    <t>аренда производственных объектов</t>
  </si>
  <si>
    <t>17.1.</t>
  </si>
  <si>
    <t>Арендная плата</t>
  </si>
  <si>
    <t>17</t>
  </si>
  <si>
    <t>Расходы на оплату услуг, оказываемых организациями, осуществляющими регулируемые виды деятельности</t>
  </si>
  <si>
    <t>16</t>
  </si>
  <si>
    <t>Прочие операционные расходы</t>
  </si>
  <si>
    <t>15</t>
  </si>
  <si>
    <t>Услуги банков</t>
  </si>
  <si>
    <t>14</t>
  </si>
  <si>
    <t>Расходы на вывод из эксплуатации (в том числе на консервацию) и вывод из консервации</t>
  </si>
  <si>
    <t>13</t>
  </si>
  <si>
    <t>Расходы на обучение персонала</t>
  </si>
  <si>
    <t>12</t>
  </si>
  <si>
    <t>Расходы на служебные командировки</t>
  </si>
  <si>
    <t>11</t>
  </si>
  <si>
    <t>иные работы и услуги</t>
  </si>
  <si>
    <t>10.12.</t>
  </si>
  <si>
    <t>средства на необязательное (дополнительное) страхование</t>
  </si>
  <si>
    <t>10.11.</t>
  </si>
  <si>
    <t>целевые средства на НИОКР</t>
  </si>
  <si>
    <t>10.10.</t>
  </si>
  <si>
    <t>расходы по подготовке и освоению производства (пуско-наладочные работы)</t>
  </si>
  <si>
    <t>10.9.</t>
  </si>
  <si>
    <t>услуги по стратегическому управлению организацией</t>
  </si>
  <si>
    <t>10.8.</t>
  </si>
  <si>
    <t>расходы на аудиторские услуги</t>
  </si>
  <si>
    <t>10.7.</t>
  </si>
  <si>
    <t>расходы на информационные услуги</t>
  </si>
  <si>
    <t>10.6.</t>
  </si>
  <si>
    <t>расходы на юридические услуги</t>
  </si>
  <si>
    <t>10.5.</t>
  </si>
  <si>
    <t>расходы на консультационные услуги</t>
  </si>
  <si>
    <t>10.4.</t>
  </si>
  <si>
    <t xml:space="preserve">коммунальные услуги </t>
  </si>
  <si>
    <t>10.3.</t>
  </si>
  <si>
    <t xml:space="preserve">услуги вневедомственной охраны </t>
  </si>
  <si>
    <t>10.2.</t>
  </si>
  <si>
    <t>услуги связи</t>
  </si>
  <si>
    <t>10.1.</t>
  </si>
  <si>
    <t>Расходы на оплату иных работ и услуг, выполняемых по договорам с организациями, включая:</t>
  </si>
  <si>
    <t>10</t>
  </si>
  <si>
    <t>иные работы и услуги производственного характера</t>
  </si>
  <si>
    <t>9.4.</t>
  </si>
  <si>
    <t>прочие услуги вспомогательных производств</t>
  </si>
  <si>
    <t>9.3.</t>
  </si>
  <si>
    <t>работы по техническому регламенту</t>
  </si>
  <si>
    <t>9.2.</t>
  </si>
  <si>
    <t>транспортные услуги</t>
  </si>
  <si>
    <t>9.1.</t>
  </si>
  <si>
    <t>Расходы на оплату работ и услуг производственного характера, выполняемых по договорам со сторонними организациями</t>
  </si>
  <si>
    <t>9.</t>
  </si>
  <si>
    <t>Ремонт основных средств, выполняемый подрядным способом</t>
  </si>
  <si>
    <t>8.</t>
  </si>
  <si>
    <t>Прочие расходы</t>
  </si>
  <si>
    <t>7.7.</t>
  </si>
  <si>
    <t>Хозяйственный инвентарь и другие вспомогательные материалы</t>
  </si>
  <si>
    <t>7.6.</t>
  </si>
  <si>
    <t>Специальная одежда</t>
  </si>
  <si>
    <t>7.5.</t>
  </si>
  <si>
    <t>На текущее содержание и техническое обслуживание</t>
  </si>
  <si>
    <t>7.4.</t>
  </si>
  <si>
    <t>На текущий и капитальный ремонт</t>
  </si>
  <si>
    <t>7.3.</t>
  </si>
  <si>
    <t>ГСМ</t>
  </si>
  <si>
    <t>7.2.</t>
  </si>
  <si>
    <t>Реагенты, фильтрующие и ионообменные материалы для водоподготовки</t>
  </si>
  <si>
    <t>7.1.</t>
  </si>
  <si>
    <t>Расходы на приобретение сырья и материалов</t>
  </si>
  <si>
    <t>7</t>
  </si>
  <si>
    <t>тыс.куб.м</t>
  </si>
  <si>
    <t>Объём</t>
  </si>
  <si>
    <t>6.2.</t>
  </si>
  <si>
    <t>руб./куб.м</t>
  </si>
  <si>
    <t>Цена</t>
  </si>
  <si>
    <t>6.1.</t>
  </si>
  <si>
    <t>м3/Гкал</t>
  </si>
  <si>
    <t>Удельный расход стоков, на 1 Гкал произведённой теплоэнергии</t>
  </si>
  <si>
    <t>Водоотведение</t>
  </si>
  <si>
    <t>6</t>
  </si>
  <si>
    <t>Объём, тыс. м3</t>
  </si>
  <si>
    <t>5.2.</t>
  </si>
  <si>
    <t>Цена, руб./м3</t>
  </si>
  <si>
    <t>5.1.</t>
  </si>
  <si>
    <t>Удельный расход технической воды на1 Гкал произведённой теплоэнергии</t>
  </si>
  <si>
    <t>Удельный расход питьевой воды на 1 /Гкал произведённой теплоэнергии</t>
  </si>
  <si>
    <t>Холодная вода</t>
  </si>
  <si>
    <t>5</t>
  </si>
  <si>
    <t>отчисления на соц. нужды от заработной платы прочего персонала</t>
  </si>
  <si>
    <t>4.5</t>
  </si>
  <si>
    <t>отчисления на соц. нужды от заработной платы АУП</t>
  </si>
  <si>
    <t>4.4</t>
  </si>
  <si>
    <t>отчисления на соц. нужды от заработной платы цехового персонала</t>
  </si>
  <si>
    <t>4.3</t>
  </si>
  <si>
    <t>отчисления на соц. нужды от заработной платы ремонтного персонала</t>
  </si>
  <si>
    <t>4.2</t>
  </si>
  <si>
    <t>отчисления на соц. нужды от заработной платы основных производственных рабочих</t>
  </si>
  <si>
    <t>4.1</t>
  </si>
  <si>
    <t>процент отчислений на социальные нужды</t>
  </si>
  <si>
    <t xml:space="preserve">Отчисления на социальные нужды, в том числе </t>
  </si>
  <si>
    <t>4</t>
  </si>
  <si>
    <t>ед.</t>
  </si>
  <si>
    <t>численность прочего персонала, относимого на регулируемый вид деятельности</t>
  </si>
  <si>
    <t>3.5.2</t>
  </si>
  <si>
    <t>руб./мес.</t>
  </si>
  <si>
    <t>среднемесячная оплата труда прочего персонала, относимого на регулируемый вид деятельности</t>
  </si>
  <si>
    <t>3.5.1</t>
  </si>
  <si>
    <t>оплата труда прочего персонала, относимого на регулируемый вид деятельности</t>
  </si>
  <si>
    <t>3.5.</t>
  </si>
  <si>
    <t>Период работы, мес.</t>
  </si>
  <si>
    <t>численность АУП, относимого на регулируемый вид деятельности</t>
  </si>
  <si>
    <t>3.4.2.</t>
  </si>
  <si>
    <t>среднемесячная оплата труда АУП</t>
  </si>
  <si>
    <t>3.4.1.</t>
  </si>
  <si>
    <t>оплата труда АУП</t>
  </si>
  <si>
    <t>3.4.</t>
  </si>
  <si>
    <t>численность цехового персонала, относимого на регулируемый вид деятельности</t>
  </si>
  <si>
    <t>3.3.2.</t>
  </si>
  <si>
    <t>среднемесячная оплата труда цехового персонала</t>
  </si>
  <si>
    <t>3.3.1.</t>
  </si>
  <si>
    <t>оплата труда цехового персонала</t>
  </si>
  <si>
    <t>3.3.</t>
  </si>
  <si>
    <t>численность ремонтного персонала, относимого на регулируемый вид деятельности</t>
  </si>
  <si>
    <t>3.2.2.</t>
  </si>
  <si>
    <t>среднемесячная оплата труда ремонтного персонала</t>
  </si>
  <si>
    <t>3.2.1.</t>
  </si>
  <si>
    <t>оплата труда ремонтного персонала</t>
  </si>
  <si>
    <t>3.2.</t>
  </si>
  <si>
    <t>численность основного производственного персонала, относимого на регулируемый вид деятельности</t>
  </si>
  <si>
    <t>3.1.2.</t>
  </si>
  <si>
    <t>среднемесячная оплата труда основных производственных рабочих</t>
  </si>
  <si>
    <t>3.1.1.</t>
  </si>
  <si>
    <t>оплата труда основных производственных рабочих</t>
  </si>
  <si>
    <t>3.1.</t>
  </si>
  <si>
    <t xml:space="preserve">Затраты на оплату труда </t>
  </si>
  <si>
    <t>3</t>
  </si>
  <si>
    <t>тыс.кВт*ч</t>
  </si>
  <si>
    <t>объём энергии</t>
  </si>
  <si>
    <t>2.2.2.</t>
  </si>
  <si>
    <t>руб./кВт*ч</t>
  </si>
  <si>
    <t>тариф на энергию</t>
  </si>
  <si>
    <t>2.2.1.</t>
  </si>
  <si>
    <t>кВт*ч/Гкал</t>
  </si>
  <si>
    <t>Удельный расход электроэнергии,       кВтч/Гкал произведённой теплоэнергии</t>
  </si>
  <si>
    <t>затраты на покупную электрическую энергию</t>
  </si>
  <si>
    <t>2.2.</t>
  </si>
  <si>
    <t>цена ТЭ</t>
  </si>
  <si>
    <t>2.1.2.</t>
  </si>
  <si>
    <t>объём ТЭ</t>
  </si>
  <si>
    <t>2.1.1.</t>
  </si>
  <si>
    <t xml:space="preserve">затраты на покупную тепловую энергию </t>
  </si>
  <si>
    <t>2.1.</t>
  </si>
  <si>
    <t xml:space="preserve">Энергия, в том числе </t>
  </si>
  <si>
    <t>2</t>
  </si>
  <si>
    <t>руб./тнт</t>
  </si>
  <si>
    <t xml:space="preserve">Цена </t>
  </si>
  <si>
    <t>тнт</t>
  </si>
  <si>
    <t>Объём натурального топлива</t>
  </si>
  <si>
    <t xml:space="preserve"> кг у т /Гкал</t>
  </si>
  <si>
    <t>Удельный расход условного топлива на 1 Гкал отпущенной теплоэнергии</t>
  </si>
  <si>
    <t>Дрова</t>
  </si>
  <si>
    <t>1.5</t>
  </si>
  <si>
    <t>Дизельное топливо</t>
  </si>
  <si>
    <t>1.4</t>
  </si>
  <si>
    <t>Мазут</t>
  </si>
  <si>
    <t>1.3</t>
  </si>
  <si>
    <t>руб./тыс.м3</t>
  </si>
  <si>
    <t>Цена газа</t>
  </si>
  <si>
    <t>тыс.м3</t>
  </si>
  <si>
    <t xml:space="preserve">Газ природный </t>
  </si>
  <si>
    <t>1.2</t>
  </si>
  <si>
    <t>Уголь</t>
  </si>
  <si>
    <t>1.1</t>
  </si>
  <si>
    <t>Стоимость натурального топлива с учётом транспортировки (перевозки) (топливо на технологические цели)</t>
  </si>
  <si>
    <t>1</t>
  </si>
  <si>
    <t>передача тепловой энергии</t>
  </si>
  <si>
    <t>производство тепловой энергии</t>
  </si>
  <si>
    <t>Период регул. 2017 год (данные организации)</t>
  </si>
  <si>
    <t>Базовый период - план  2016 года</t>
  </si>
  <si>
    <t>Протяженность тепловых сетей</t>
  </si>
  <si>
    <t>Система налогообложения</t>
  </si>
  <si>
    <t>вид топлива</t>
  </si>
  <si>
    <t xml:space="preserve">Количество котельных </t>
  </si>
  <si>
    <r>
      <t xml:space="preserve">Смета расходов, связанных с </t>
    </r>
    <r>
      <rPr>
        <b/>
        <sz val="11"/>
        <rFont val="Arial Cyr"/>
        <family val="0"/>
      </rPr>
      <t>производством, передачей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и сбытом</t>
    </r>
    <r>
      <rPr>
        <sz val="11"/>
        <rFont val="Arial Cyr"/>
        <family val="0"/>
      </rPr>
      <t xml:space="preserve"> тепловой энергии</t>
    </r>
  </si>
  <si>
    <t>Приложение</t>
  </si>
  <si>
    <t>Индекс цен на природный газ</t>
  </si>
  <si>
    <t>Индекс цен на тепловую энергию</t>
  </si>
  <si>
    <t>Индекс цен на электрическую энергию</t>
  </si>
  <si>
    <t>Индекс цен на холодную воду</t>
  </si>
  <si>
    <t>Индекс цен производителей промышленной продукции (ИЦП)</t>
  </si>
  <si>
    <t>Индекс потребительских цен (ИПЦ)</t>
  </si>
  <si>
    <t>Индексы МЭР</t>
  </si>
  <si>
    <t>гКалуга</t>
  </si>
  <si>
    <t>АО"Калугапутьмаш"</t>
  </si>
  <si>
    <t>Расчёт условных единиц при двухтрубной прокладке тепловых сетей АО "Восход"-КРЛЗ</t>
  </si>
  <si>
    <t xml:space="preserve">53,57
115,92
</t>
  </si>
  <si>
    <t xml:space="preserve">Зам.исполнительного директора               А.А.Целуев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</si>
</sst>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\5\-\9"/>
    <numFmt numFmtId="166" formatCode="\3\-\4"/>
    <numFmt numFmtId="167" formatCode="_-* #,##0.00[$€-1]_-;\-* #,##0.00[$€-1]_-;_-* &quot;-&quot;??[$€-1]_-"/>
    <numFmt numFmtId="168" formatCode="&quot;$&quot;#,##0_);[Red]\(&quot;$&quot;#,##0\)"/>
    <numFmt numFmtId="169" formatCode="_(&quot;р.&quot;* #,##0.00_);_(&quot;р.&quot;* \(#,##0.00\);_(&quot;р.&quot;* &quot;-&quot;??_);_(@_)"/>
    <numFmt numFmtId="170" formatCode="0.000"/>
    <numFmt numFmtId="171" formatCode="0.00000"/>
    <numFmt numFmtId="172" formatCode="0.00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u val="single"/>
      <sz val="9"/>
      <color indexed="32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+mn-lt"/>
      <family val="0"/>
    </font>
    <font>
      <b/>
      <sz val="11"/>
      <color indexed="8"/>
      <name val="Cambria Math"/>
      <family val="1"/>
    </font>
    <font>
      <b/>
      <sz val="14"/>
      <color indexed="8"/>
      <name val="Cambria Math"/>
      <family val="1"/>
    </font>
    <font>
      <b/>
      <sz val="14"/>
      <color indexed="8"/>
      <name val="Calibri"/>
      <family val="2"/>
    </font>
    <font>
      <b/>
      <sz val="18"/>
      <color indexed="8"/>
      <name val="Cambria Math"/>
      <family val="1"/>
    </font>
    <font>
      <b/>
      <sz val="16"/>
      <color indexed="8"/>
      <name val="Cambria Math"/>
      <family val="1"/>
    </font>
    <font>
      <sz val="16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68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16" fillId="27" borderId="2" applyNumberFormat="0" applyAlignment="0" applyProtection="0"/>
    <xf numFmtId="0" fontId="68" fillId="28" borderId="3" applyNumberFormat="0" applyAlignment="0" applyProtection="0"/>
    <xf numFmtId="0" fontId="69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NumberFormat="0" applyFill="0" applyBorder="0" applyAlignment="0" applyProtection="0"/>
    <xf numFmtId="49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4" fontId="21" fillId="29" borderId="8" applyBorder="0">
      <alignment horizontal="right"/>
      <protection/>
    </xf>
    <xf numFmtId="0" fontId="73" fillId="0" borderId="9" applyNumberFormat="0" applyFill="0" applyAlignment="0" applyProtection="0"/>
    <xf numFmtId="0" fontId="74" fillId="30" borderId="10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49" fontId="2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7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4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top" wrapText="1"/>
    </xf>
    <xf numFmtId="0" fontId="84" fillId="0" borderId="8" xfId="0" applyFont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84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Border="1" applyAlignment="1">
      <alignment/>
    </xf>
    <xf numFmtId="0" fontId="89" fillId="0" borderId="8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 wrapText="1"/>
    </xf>
    <xf numFmtId="0" fontId="89" fillId="0" borderId="8" xfId="0" applyFont="1" applyBorder="1" applyAlignment="1">
      <alignment horizontal="left" vertical="center" wrapText="1"/>
    </xf>
    <xf numFmtId="0" fontId="89" fillId="0" borderId="8" xfId="0" applyFont="1" applyBorder="1" applyAlignment="1">
      <alignment horizontal="center" wrapText="1"/>
    </xf>
    <xf numFmtId="0" fontId="89" fillId="0" borderId="8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8" xfId="0" applyFont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3" fillId="0" borderId="17" xfId="0" applyFont="1" applyBorder="1" applyAlignment="1">
      <alignment/>
    </xf>
    <xf numFmtId="0" fontId="0" fillId="0" borderId="17" xfId="0" applyBorder="1" applyAlignment="1">
      <alignment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textRotation="90" wrapText="1"/>
    </xf>
    <xf numFmtId="0" fontId="73" fillId="0" borderId="8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4" fillId="0" borderId="8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6" fillId="0" borderId="8" xfId="0" applyFont="1" applyFill="1" applyBorder="1" applyAlignment="1">
      <alignment wrapText="1"/>
    </xf>
    <xf numFmtId="10" fontId="0" fillId="0" borderId="8" xfId="103" applyNumberFormat="1" applyFont="1" applyBorder="1" applyAlignment="1">
      <alignment/>
    </xf>
    <xf numFmtId="0" fontId="14" fillId="0" borderId="8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49" fontId="27" fillId="35" borderId="8" xfId="83" applyNumberFormat="1" applyFont="1" applyFill="1" applyBorder="1" applyAlignment="1" applyProtection="1">
      <alignment horizontal="center" vertical="center" wrapText="1"/>
      <protection/>
    </xf>
    <xf numFmtId="49" fontId="21" fillId="36" borderId="8" xfId="83" applyFont="1" applyFill="1" applyBorder="1" applyAlignment="1" applyProtection="1">
      <alignment horizontal="left" vertical="center" wrapText="1"/>
      <protection/>
    </xf>
    <xf numFmtId="49" fontId="21" fillId="36" borderId="8" xfId="83" applyFill="1" applyBorder="1" applyAlignment="1" applyProtection="1">
      <alignment horizontal="left" vertical="center" wrapText="1" indent="1"/>
      <protection/>
    </xf>
    <xf numFmtId="49" fontId="28" fillId="37" borderId="8" xfId="83" applyNumberFormat="1" applyFont="1" applyFill="1" applyBorder="1" applyAlignment="1" applyProtection="1">
      <alignment horizontal="center" vertical="center" wrapText="1"/>
      <protection/>
    </xf>
    <xf numFmtId="49" fontId="27" fillId="37" borderId="8" xfId="83" applyNumberFormat="1" applyFont="1" applyFill="1" applyBorder="1" applyAlignment="1" applyProtection="1">
      <alignment horizontal="left" vertical="center" wrapText="1" indent="1"/>
      <protection/>
    </xf>
    <xf numFmtId="49" fontId="21" fillId="37" borderId="8" xfId="83" applyNumberFormat="1" applyFont="1" applyFill="1" applyBorder="1" applyAlignment="1" applyProtection="1">
      <alignment horizontal="left" vertical="center" wrapText="1" indent="1"/>
      <protection/>
    </xf>
    <xf numFmtId="49" fontId="27" fillId="0" borderId="8" xfId="83" applyFont="1" applyBorder="1" applyAlignment="1">
      <alignment horizontal="center" vertical="center"/>
      <protection/>
    </xf>
    <xf numFmtId="49" fontId="28" fillId="38" borderId="8" xfId="83" applyFont="1" applyFill="1" applyBorder="1" applyAlignment="1" applyProtection="1">
      <alignment horizontal="left" vertical="center" wrapText="1" indent="1"/>
      <protection/>
    </xf>
    <xf numFmtId="49" fontId="21" fillId="37" borderId="8" xfId="83" applyFont="1" applyFill="1" applyBorder="1" applyAlignment="1" applyProtection="1">
      <alignment horizontal="center" vertical="center" wrapText="1"/>
      <protection/>
    </xf>
    <xf numFmtId="49" fontId="28" fillId="39" borderId="8" xfId="83" applyFont="1" applyFill="1" applyBorder="1" applyAlignment="1" applyProtection="1">
      <alignment horizontal="left" vertical="center" wrapText="1" indent="1"/>
      <protection/>
    </xf>
    <xf numFmtId="49" fontId="28" fillId="40" borderId="8" xfId="83" applyFont="1" applyFill="1" applyBorder="1" applyAlignment="1" applyProtection="1">
      <alignment horizontal="left" vertical="center" wrapText="1" indent="1"/>
      <protection/>
    </xf>
    <xf numFmtId="49" fontId="28" fillId="41" borderId="8" xfId="83" applyFont="1" applyFill="1" applyBorder="1" applyAlignment="1" applyProtection="1">
      <alignment horizontal="left" vertical="center" wrapText="1" indent="1"/>
      <protection/>
    </xf>
    <xf numFmtId="49" fontId="21" fillId="37" borderId="8" xfId="83" applyFont="1" applyFill="1" applyBorder="1" applyAlignment="1" applyProtection="1">
      <alignment vertical="center" wrapText="1"/>
      <protection/>
    </xf>
    <xf numFmtId="49" fontId="21" fillId="37" borderId="8" xfId="83" applyFont="1" applyFill="1" applyBorder="1" applyAlignment="1" applyProtection="1">
      <alignment horizontal="left" vertical="center" wrapText="1" indent="1"/>
      <protection/>
    </xf>
    <xf numFmtId="49" fontId="20" fillId="36" borderId="8" xfId="83" applyFont="1" applyFill="1" applyBorder="1" applyAlignment="1" applyProtection="1">
      <alignment horizontal="left" vertical="center" wrapText="1" indent="1"/>
      <protection/>
    </xf>
    <xf numFmtId="49" fontId="21" fillId="0" borderId="8" xfId="83" applyBorder="1" applyAlignment="1">
      <alignment horizontal="left" vertical="center" wrapText="1" indent="1"/>
      <protection/>
    </xf>
    <xf numFmtId="49" fontId="21" fillId="0" borderId="8" xfId="83" applyNumberFormat="1" applyBorder="1" applyAlignment="1">
      <alignment horizontal="left" vertical="center" indent="1"/>
      <protection/>
    </xf>
    <xf numFmtId="49" fontId="20" fillId="0" borderId="8" xfId="83" applyFont="1" applyBorder="1" applyAlignment="1">
      <alignment horizontal="left" vertical="center" wrapText="1" indent="1"/>
      <protection/>
    </xf>
    <xf numFmtId="49" fontId="27" fillId="0" borderId="8" xfId="99" applyFont="1" applyFill="1" applyBorder="1" applyAlignment="1" applyProtection="1">
      <alignment horizontal="center" vertical="center"/>
      <protection/>
    </xf>
    <xf numFmtId="49" fontId="29" fillId="0" borderId="8" xfId="99" applyFont="1" applyFill="1" applyBorder="1" applyAlignment="1" applyProtection="1">
      <alignment horizontal="left" vertical="center" wrapText="1" indent="2"/>
      <protection/>
    </xf>
    <xf numFmtId="49" fontId="21" fillId="0" borderId="8" xfId="99" applyNumberFormat="1" applyFont="1" applyFill="1" applyBorder="1" applyAlignment="1" applyProtection="1">
      <alignment horizontal="left" vertical="center" wrapText="1" indent="1"/>
      <protection/>
    </xf>
    <xf numFmtId="49" fontId="21" fillId="36" borderId="8" xfId="83" applyFont="1" applyFill="1" applyBorder="1" applyAlignment="1" applyProtection="1">
      <alignment horizontal="left" vertical="center" wrapText="1" indent="1"/>
      <protection/>
    </xf>
    <xf numFmtId="49" fontId="28" fillId="38" borderId="8" xfId="83" applyNumberFormat="1" applyFont="1" applyFill="1" applyBorder="1" applyAlignment="1" applyProtection="1">
      <alignment horizontal="center" vertical="center"/>
      <protection/>
    </xf>
    <xf numFmtId="49" fontId="29" fillId="36" borderId="8" xfId="83" applyNumberFormat="1" applyFont="1" applyFill="1" applyBorder="1" applyAlignment="1" applyProtection="1">
      <alignment horizontal="left" vertical="center" wrapText="1" indent="1"/>
      <protection/>
    </xf>
    <xf numFmtId="49" fontId="27" fillId="37" borderId="8" xfId="83" applyNumberFormat="1" applyFont="1" applyFill="1" applyBorder="1" applyAlignment="1" applyProtection="1">
      <alignment horizontal="center" vertical="center" wrapText="1"/>
      <protection/>
    </xf>
    <xf numFmtId="49" fontId="21" fillId="37" borderId="8" xfId="83" applyNumberFormat="1" applyFont="1" applyFill="1" applyBorder="1" applyAlignment="1" applyProtection="1">
      <alignment horizontal="left" vertical="center" wrapText="1" indent="2"/>
      <protection/>
    </xf>
    <xf numFmtId="49" fontId="21" fillId="37" borderId="8" xfId="83" applyNumberFormat="1" applyFill="1" applyBorder="1" applyAlignment="1" applyProtection="1">
      <alignment horizontal="left" vertical="center" indent="1"/>
      <protection/>
    </xf>
    <xf numFmtId="0" fontId="30" fillId="37" borderId="8" xfId="83" applyNumberFormat="1" applyFont="1" applyFill="1" applyBorder="1" applyAlignment="1" applyProtection="1">
      <alignment/>
      <protection/>
    </xf>
    <xf numFmtId="0" fontId="29" fillId="37" borderId="8" xfId="83" applyNumberFormat="1" applyFont="1" applyFill="1" applyBorder="1" applyAlignment="1" applyProtection="1">
      <alignment horizontal="left" indent="1"/>
      <protection/>
    </xf>
    <xf numFmtId="0" fontId="28" fillId="37" borderId="8" xfId="83" applyNumberFormat="1" applyFont="1" applyFill="1" applyBorder="1" applyAlignment="1" applyProtection="1">
      <alignment horizontal="left" indent="2"/>
      <protection/>
    </xf>
    <xf numFmtId="49" fontId="28" fillId="40" borderId="8" xfId="83" applyNumberFormat="1" applyFont="1" applyFill="1" applyBorder="1" applyAlignment="1" applyProtection="1">
      <alignment horizontal="center" vertical="center"/>
      <protection/>
    </xf>
    <xf numFmtId="49" fontId="21" fillId="0" borderId="8" xfId="99" applyFont="1" applyFill="1" applyBorder="1" applyAlignment="1" applyProtection="1">
      <alignment horizontal="left" vertical="center" wrapText="1" indent="2"/>
      <protection/>
    </xf>
    <xf numFmtId="49" fontId="29" fillId="0" borderId="8" xfId="99" applyFont="1" applyFill="1" applyBorder="1" applyAlignment="1" applyProtection="1">
      <alignment horizontal="left" vertical="top" wrapText="1" indent="3"/>
      <protection/>
    </xf>
    <xf numFmtId="0" fontId="29" fillId="0" borderId="8" xfId="90" applyFont="1" applyFill="1" applyBorder="1" applyAlignment="1" applyProtection="1">
      <alignment horizontal="left" vertical="center" wrapText="1" indent="2"/>
      <protection/>
    </xf>
    <xf numFmtId="0" fontId="21" fillId="0" borderId="8" xfId="99" applyNumberFormat="1" applyFont="1" applyFill="1" applyBorder="1" applyAlignment="1" applyProtection="1">
      <alignment horizontal="left" vertical="center" wrapText="1" indent="1"/>
      <protection/>
    </xf>
    <xf numFmtId="0" fontId="29" fillId="0" borderId="8" xfId="89" applyFont="1" applyFill="1" applyBorder="1" applyAlignment="1" applyProtection="1">
      <alignment horizontal="left" vertical="center" wrapText="1" indent="2"/>
      <protection/>
    </xf>
    <xf numFmtId="49" fontId="28" fillId="41" borderId="8" xfId="83" applyNumberFormat="1" applyFont="1" applyFill="1" applyBorder="1" applyAlignment="1" applyProtection="1">
      <alignment horizontal="center" vertical="center"/>
      <protection/>
    </xf>
    <xf numFmtId="0" fontId="29" fillId="0" borderId="8" xfId="88" applyFont="1" applyFill="1" applyBorder="1" applyAlignment="1" applyProtection="1">
      <alignment horizontal="left" vertical="center" wrapText="1" indent="2"/>
      <protection/>
    </xf>
    <xf numFmtId="49" fontId="29" fillId="35" borderId="8" xfId="83" applyNumberFormat="1" applyFont="1" applyFill="1" applyBorder="1" applyAlignment="1" applyProtection="1">
      <alignment horizontal="left" vertical="center" wrapText="1" indent="2"/>
      <protection/>
    </xf>
    <xf numFmtId="0" fontId="29" fillId="0" borderId="8" xfId="87" applyFont="1" applyFill="1" applyBorder="1" applyAlignment="1" applyProtection="1">
      <alignment horizontal="left" vertical="center" wrapText="1" indent="2"/>
      <protection/>
    </xf>
    <xf numFmtId="0" fontId="21" fillId="0" borderId="8" xfId="87" applyFont="1" applyFill="1" applyBorder="1" applyAlignment="1" applyProtection="1">
      <alignment horizontal="left" vertical="center" wrapText="1" indent="2"/>
      <protection/>
    </xf>
    <xf numFmtId="49" fontId="21" fillId="0" borderId="8" xfId="99" applyFont="1" applyFill="1" applyBorder="1" applyAlignment="1" applyProtection="1">
      <alignment horizontal="left" vertical="center" wrapText="1" indent="1"/>
      <protection/>
    </xf>
    <xf numFmtId="49" fontId="29" fillId="0" borderId="8" xfId="99" applyFont="1" applyFill="1" applyBorder="1" applyAlignment="1" applyProtection="1">
      <alignment horizontal="left" vertical="center" wrapText="1" indent="3"/>
      <protection/>
    </xf>
    <xf numFmtId="49" fontId="28" fillId="39" borderId="8" xfId="83" applyFont="1" applyFill="1" applyBorder="1" applyAlignment="1" applyProtection="1">
      <alignment horizontal="center" vertical="center"/>
      <protection/>
    </xf>
    <xf numFmtId="49" fontId="21" fillId="35" borderId="8" xfId="83" applyNumberFormat="1" applyFont="1" applyFill="1" applyBorder="1" applyAlignment="1" applyProtection="1">
      <alignment horizontal="left" vertical="center" wrapText="1" indent="2"/>
      <protection/>
    </xf>
    <xf numFmtId="49" fontId="21" fillId="35" borderId="8" xfId="83" applyNumberFormat="1" applyFont="1" applyFill="1" applyBorder="1" applyAlignment="1" applyProtection="1">
      <alignment horizontal="left" vertical="center" wrapText="1" indent="1"/>
      <protection/>
    </xf>
    <xf numFmtId="49" fontId="28" fillId="40" borderId="8" xfId="83" applyFont="1" applyFill="1" applyBorder="1" applyAlignment="1" applyProtection="1">
      <alignment horizontal="center" vertical="center"/>
      <protection/>
    </xf>
    <xf numFmtId="49" fontId="21" fillId="35" borderId="8" xfId="83" applyNumberFormat="1" applyFill="1" applyBorder="1" applyAlignment="1" applyProtection="1">
      <alignment horizontal="left" vertical="center" wrapText="1" indent="3"/>
      <protection/>
    </xf>
    <xf numFmtId="49" fontId="21" fillId="35" borderId="8" xfId="83" applyFill="1" applyBorder="1" applyAlignment="1" applyProtection="1">
      <alignment horizontal="left" vertical="center" wrapText="1" indent="3"/>
      <protection/>
    </xf>
    <xf numFmtId="49" fontId="20" fillId="35" borderId="8" xfId="83" applyNumberFormat="1" applyFont="1" applyFill="1" applyBorder="1" applyAlignment="1" applyProtection="1">
      <alignment horizontal="left" vertical="center" wrapText="1" indent="2"/>
      <protection/>
    </xf>
    <xf numFmtId="49" fontId="28" fillId="41" borderId="8" xfId="83" applyFont="1" applyFill="1" applyBorder="1" applyAlignment="1" applyProtection="1">
      <alignment horizontal="center" vertical="center"/>
      <protection/>
    </xf>
    <xf numFmtId="49" fontId="21" fillId="35" borderId="8" xfId="83" applyNumberFormat="1" applyFill="1" applyBorder="1" applyAlignment="1" applyProtection="1">
      <alignment horizontal="left" vertical="center" wrapText="1" indent="5"/>
      <protection/>
    </xf>
    <xf numFmtId="49" fontId="21" fillId="36" borderId="8" xfId="83" applyFont="1" applyFill="1" applyBorder="1" applyAlignment="1" applyProtection="1">
      <alignment horizontal="left" vertical="center" wrapText="1" indent="3"/>
      <protection/>
    </xf>
    <xf numFmtId="49" fontId="21" fillId="0" borderId="8" xfId="83" applyNumberFormat="1" applyFill="1" applyBorder="1" applyAlignment="1" applyProtection="1">
      <alignment horizontal="left" vertical="center" wrapText="1" indent="6"/>
      <protection/>
    </xf>
    <xf numFmtId="0" fontId="21" fillId="0" borderId="8" xfId="83" applyNumberFormat="1" applyFill="1" applyBorder="1" applyAlignment="1" applyProtection="1">
      <alignment horizontal="left" vertical="center" wrapText="1" indent="1"/>
      <protection/>
    </xf>
    <xf numFmtId="0" fontId="21" fillId="0" borderId="8" xfId="83" applyNumberFormat="1" applyFont="1" applyFill="1" applyBorder="1" applyAlignment="1" applyProtection="1">
      <alignment horizontal="left" vertical="center" wrapText="1" indent="2"/>
      <protection/>
    </xf>
    <xf numFmtId="49" fontId="29" fillId="0" borderId="8" xfId="83" applyFont="1" applyBorder="1" applyAlignment="1" applyProtection="1">
      <alignment horizontal="left" vertical="center" indent="1"/>
      <protection/>
    </xf>
    <xf numFmtId="49" fontId="21" fillId="0" borderId="8" xfId="83" applyFont="1" applyFill="1" applyBorder="1" applyAlignment="1" applyProtection="1">
      <alignment horizontal="left" vertical="center" wrapText="1" indent="2"/>
      <protection/>
    </xf>
    <xf numFmtId="49" fontId="21" fillId="0" borderId="8" xfId="83" applyFont="1" applyFill="1" applyBorder="1" applyAlignment="1" applyProtection="1">
      <alignment horizontal="left" vertical="center" indent="2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2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23" fillId="42" borderId="8" xfId="94" applyNumberFormat="1" applyFont="1" applyFill="1" applyBorder="1" applyAlignment="1">
      <alignment horizontal="center"/>
      <protection/>
    </xf>
    <xf numFmtId="0" fontId="23" fillId="43" borderId="8" xfId="94" applyNumberFormat="1" applyFont="1" applyFill="1" applyBorder="1" applyAlignment="1">
      <alignment/>
      <protection/>
    </xf>
    <xf numFmtId="49" fontId="90" fillId="43" borderId="8" xfId="94" applyNumberFormat="1" applyFont="1" applyFill="1" applyBorder="1" applyAlignment="1">
      <alignment/>
      <protection/>
    </xf>
    <xf numFmtId="49" fontId="91" fillId="43" borderId="8" xfId="94" applyNumberFormat="1" applyFont="1" applyFill="1" applyBorder="1" applyAlignment="1">
      <alignment horizontal="left"/>
      <protection/>
    </xf>
    <xf numFmtId="49" fontId="23" fillId="43" borderId="8" xfId="94" applyNumberFormat="1" applyFont="1" applyFill="1" applyBorder="1" applyAlignment="1">
      <alignment/>
      <protection/>
    </xf>
    <xf numFmtId="170" fontId="92" fillId="42" borderId="8" xfId="94" applyNumberFormat="1" applyFont="1" applyFill="1" applyBorder="1" applyAlignment="1">
      <alignment horizontal="center"/>
      <protection/>
    </xf>
    <xf numFmtId="0" fontId="91" fillId="43" borderId="8" xfId="94" applyFont="1" applyFill="1" applyBorder="1" applyAlignment="1">
      <alignment/>
      <protection/>
    </xf>
    <xf numFmtId="49" fontId="23" fillId="43" borderId="8" xfId="94" applyNumberFormat="1" applyFont="1" applyFill="1" applyBorder="1" applyAlignment="1">
      <alignment horizontal="center" wrapText="1"/>
      <protection/>
    </xf>
    <xf numFmtId="170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25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85" fillId="0" borderId="0" xfId="0" applyFont="1" applyBorder="1" applyAlignment="1">
      <alignment horizontal="right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5" fillId="0" borderId="0" xfId="0" applyFont="1" applyBorder="1" applyAlignment="1">
      <alignment vertical="top"/>
    </xf>
    <xf numFmtId="0" fontId="85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43" borderId="8" xfId="94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85" fillId="0" borderId="0" xfId="0" applyFont="1" applyBorder="1" applyAlignment="1">
      <alignment horizontal="left" vertical="top" wrapText="1"/>
    </xf>
    <xf numFmtId="0" fontId="84" fillId="0" borderId="1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top"/>
    </xf>
    <xf numFmtId="0" fontId="88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left" wrapText="1"/>
    </xf>
    <xf numFmtId="0" fontId="8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9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urrency [0]" xfId="48"/>
    <cellStyle name="Currency2" xfId="49"/>
    <cellStyle name="Followed Hyperlink" xfId="50"/>
    <cellStyle name="Hyperlink" xfId="51"/>
    <cellStyle name="normal" xfId="52"/>
    <cellStyle name="Normal1" xfId="53"/>
    <cellStyle name="Normal2" xfId="54"/>
    <cellStyle name="Percent1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вод  2" xfId="63"/>
    <cellStyle name="Вывод" xfId="64"/>
    <cellStyle name="Вычисление" xfId="65"/>
    <cellStyle name="Гиперссылка 2" xfId="66"/>
    <cellStyle name="Гиперссылка 2 2" xfId="67"/>
    <cellStyle name="Гиперссылка 2 3" xfId="68"/>
    <cellStyle name="Гиперссылка 3" xfId="69"/>
    <cellStyle name="Currency" xfId="70"/>
    <cellStyle name="Currency [0]" xfId="71"/>
    <cellStyle name="Денежный 2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Значение" xfId="78"/>
    <cellStyle name="Итог" xfId="79"/>
    <cellStyle name="Контрольная ячейка" xfId="80"/>
    <cellStyle name="Название" xfId="81"/>
    <cellStyle name="Нейтральный" xfId="82"/>
    <cellStyle name="Обычный 10" xfId="83"/>
    <cellStyle name="Обычный 2" xfId="84"/>
    <cellStyle name="Обычный 2 2" xfId="85"/>
    <cellStyle name="Обычный 2 3" xfId="86"/>
    <cellStyle name="Обычный 20" xfId="87"/>
    <cellStyle name="Обычный 21" xfId="88"/>
    <cellStyle name="Обычный 22" xfId="89"/>
    <cellStyle name="Обычный 23" xfId="90"/>
    <cellStyle name="Обычный 3" xfId="91"/>
    <cellStyle name="Обычный 3 2" xfId="92"/>
    <cellStyle name="Обычный 3 3" xfId="93"/>
    <cellStyle name="Обычный 4" xfId="94"/>
    <cellStyle name="Обычный 5" xfId="95"/>
    <cellStyle name="Обычный 6" xfId="96"/>
    <cellStyle name="Обычный 6 2" xfId="97"/>
    <cellStyle name="Обычный 7" xfId="98"/>
    <cellStyle name="Обычный_13 12 11_1 затраты+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Процентный 3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7</xdr:row>
      <xdr:rowOff>819150</xdr:rowOff>
    </xdr:from>
    <xdr:ext cx="895350" cy="266700"/>
    <xdr:sp>
      <xdr:nvSpPr>
        <xdr:cNvPr id="1" name="TextBox 2"/>
        <xdr:cNvSpPr txBox="1">
          <a:spLocks noChangeArrowheads="1"/>
        </xdr:cNvSpPr>
      </xdr:nvSpPr>
      <xdr:spPr>
        <a:xfrm>
          <a:off x="2228850" y="24003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  <xdr:oneCellAnchor>
    <xdr:from>
      <xdr:col>9</xdr:col>
      <xdr:colOff>257175</xdr:colOff>
      <xdr:row>31</xdr:row>
      <xdr:rowOff>0</xdr:rowOff>
    </xdr:from>
    <xdr:ext cx="9144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9563100" y="142970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819150</xdr:rowOff>
    </xdr:from>
    <xdr:ext cx="933450" cy="247650"/>
    <xdr:sp>
      <xdr:nvSpPr>
        <xdr:cNvPr id="3" name="TextBox 5"/>
        <xdr:cNvSpPr txBox="1">
          <a:spLocks noChangeArrowheads="1"/>
        </xdr:cNvSpPr>
      </xdr:nvSpPr>
      <xdr:spPr>
        <a:xfrm>
          <a:off x="914400" y="240030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  <xdr:oneCellAnchor>
    <xdr:from>
      <xdr:col>9</xdr:col>
      <xdr:colOff>257175</xdr:colOff>
      <xdr:row>28</xdr:row>
      <xdr:rowOff>57150</xdr:rowOff>
    </xdr:from>
    <xdr:ext cx="914400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9563100" y="94964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257175</xdr:colOff>
      <xdr:row>28</xdr:row>
      <xdr:rowOff>57150</xdr:rowOff>
    </xdr:from>
    <xdr:ext cx="914400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9563100" y="94964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31</xdr:row>
      <xdr:rowOff>0</xdr:rowOff>
    </xdr:from>
    <xdr:ext cx="590550" cy="352425"/>
    <xdr:sp fLocksText="0">
      <xdr:nvSpPr>
        <xdr:cNvPr id="6" name="TextBox 10"/>
        <xdr:cNvSpPr txBox="1">
          <a:spLocks noChangeArrowheads="1"/>
        </xdr:cNvSpPr>
      </xdr:nvSpPr>
      <xdr:spPr>
        <a:xfrm>
          <a:off x="3743325" y="14297025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561975</xdr:colOff>
      <xdr:row>27</xdr:row>
      <xdr:rowOff>66675</xdr:rowOff>
    </xdr:from>
    <xdr:ext cx="914400" cy="409575"/>
    <xdr:sp fLocksText="0">
      <xdr:nvSpPr>
        <xdr:cNvPr id="7" name="TextBox 14"/>
        <xdr:cNvSpPr txBox="1">
          <a:spLocks noChangeArrowheads="1"/>
        </xdr:cNvSpPr>
      </xdr:nvSpPr>
      <xdr:spPr>
        <a:xfrm>
          <a:off x="11087100" y="82962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15</xdr:row>
      <xdr:rowOff>0</xdr:rowOff>
    </xdr:from>
    <xdr:ext cx="3819525" cy="266700"/>
    <xdr:sp fLocksText="0">
      <xdr:nvSpPr>
        <xdr:cNvPr id="8" name="TextBox 22"/>
        <xdr:cNvSpPr txBox="1">
          <a:spLocks noChangeArrowheads="1"/>
        </xdr:cNvSpPr>
      </xdr:nvSpPr>
      <xdr:spPr>
        <a:xfrm>
          <a:off x="5610225" y="4171950"/>
          <a:ext cx="381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285750</xdr:colOff>
      <xdr:row>18</xdr:row>
      <xdr:rowOff>819150</xdr:rowOff>
    </xdr:from>
    <xdr:ext cx="876300" cy="314325"/>
    <xdr:sp fLocksText="0">
      <xdr:nvSpPr>
        <xdr:cNvPr id="9" name="TextBox 40"/>
        <xdr:cNvSpPr txBox="1">
          <a:spLocks noChangeArrowheads="1"/>
        </xdr:cNvSpPr>
      </xdr:nvSpPr>
      <xdr:spPr>
        <a:xfrm>
          <a:off x="2171700" y="5857875"/>
          <a:ext cx="876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809625</xdr:rowOff>
    </xdr:from>
    <xdr:ext cx="990600" cy="247650"/>
    <xdr:sp>
      <xdr:nvSpPr>
        <xdr:cNvPr id="10" name="TextBox 41"/>
        <xdr:cNvSpPr txBox="1">
          <a:spLocks noChangeArrowheads="1"/>
        </xdr:cNvSpPr>
      </xdr:nvSpPr>
      <xdr:spPr>
        <a:xfrm>
          <a:off x="809625" y="5848350"/>
          <a:ext cx="990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</a:p>
      </xdr:txBody>
    </xdr:sp>
    <xdr:clientData/>
  </xdr:oneCellAnchor>
  <xdr:oneCellAnchor>
    <xdr:from>
      <xdr:col>2</xdr:col>
      <xdr:colOff>9525</xdr:colOff>
      <xdr:row>31</xdr:row>
      <xdr:rowOff>0</xdr:rowOff>
    </xdr:from>
    <xdr:ext cx="10229850" cy="238125"/>
    <xdr:sp>
      <xdr:nvSpPr>
        <xdr:cNvPr id="11" name="TextBox 46"/>
        <xdr:cNvSpPr txBox="1">
          <a:spLocks noChangeArrowheads="1"/>
        </xdr:cNvSpPr>
      </xdr:nvSpPr>
      <xdr:spPr>
        <a:xfrm>
          <a:off x="752475" y="14297025"/>
          <a:ext cx="10229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&lt;*&gt;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коэффициент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 четырехтрубной прокладке  тепловых сетей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180975</xdr:colOff>
      <xdr:row>27</xdr:row>
      <xdr:rowOff>209550</xdr:rowOff>
    </xdr:from>
    <xdr:ext cx="619125" cy="266700"/>
    <xdr:sp fLocksText="0">
      <xdr:nvSpPr>
        <xdr:cNvPr id="12" name="TextBox 1"/>
        <xdr:cNvSpPr txBox="1">
          <a:spLocks noChangeArrowheads="1"/>
        </xdr:cNvSpPr>
      </xdr:nvSpPr>
      <xdr:spPr>
        <a:xfrm>
          <a:off x="923925" y="8439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142875</xdr:colOff>
      <xdr:row>27</xdr:row>
      <xdr:rowOff>190500</xdr:rowOff>
    </xdr:from>
    <xdr:ext cx="1504950" cy="295275"/>
    <xdr:sp>
      <xdr:nvSpPr>
        <xdr:cNvPr id="13" name="TextBox 24"/>
        <xdr:cNvSpPr txBox="1">
          <a:spLocks noChangeArrowheads="1"/>
        </xdr:cNvSpPr>
      </xdr:nvSpPr>
      <xdr:spPr>
        <a:xfrm>
          <a:off x="885825" y="8420100"/>
          <a:ext cx="1504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 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l〗_n  ,</a:t>
          </a:r>
        </a:p>
      </xdr:txBody>
    </xdr:sp>
    <xdr:clientData/>
  </xdr:oneCellAnchor>
  <xdr:oneCellAnchor>
    <xdr:from>
      <xdr:col>1</xdr:col>
      <xdr:colOff>371475</xdr:colOff>
      <xdr:row>27</xdr:row>
      <xdr:rowOff>733425</xdr:rowOff>
    </xdr:from>
    <xdr:ext cx="8972550" cy="457200"/>
    <xdr:sp>
      <xdr:nvSpPr>
        <xdr:cNvPr id="14" name="TextBox 3"/>
        <xdr:cNvSpPr txBox="1">
          <a:spLocks noChangeArrowheads="1"/>
        </xdr:cNvSpPr>
      </xdr:nvSpPr>
      <xdr:spPr>
        <a:xfrm>
          <a:off x="723900" y="8963025"/>
          <a:ext cx="8972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диаметр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условного прохода теплопроводов (при разных диаметрах подающего и обратного трубопроводов принимается по наибольшему диаметру);
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протяжнность участка тепловой сети.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2</xdr:col>
      <xdr:colOff>152400</xdr:colOff>
      <xdr:row>28</xdr:row>
      <xdr:rowOff>133350</xdr:rowOff>
    </xdr:from>
    <xdr:ext cx="914400" cy="266700"/>
    <xdr:sp fLocksText="0">
      <xdr:nvSpPr>
        <xdr:cNvPr id="15" name="TextBox 8"/>
        <xdr:cNvSpPr txBox="1">
          <a:spLocks noChangeArrowheads="1"/>
        </xdr:cNvSpPr>
      </xdr:nvSpPr>
      <xdr:spPr>
        <a:xfrm>
          <a:off x="895350" y="95726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28</xdr:row>
      <xdr:rowOff>228600</xdr:rowOff>
    </xdr:from>
    <xdr:ext cx="7534275" cy="1181100"/>
    <xdr:sp>
      <xdr:nvSpPr>
        <xdr:cNvPr id="16" name="TextBox 25"/>
        <xdr:cNvSpPr txBox="1">
          <a:spLocks noChangeArrowheads="1"/>
        </xdr:cNvSpPr>
      </xdr:nvSpPr>
      <xdr:spPr>
        <a:xfrm>
          <a:off x="781050" y="9667875"/>
          <a:ext cx="75342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(∑</a:t>
          </a:r>
          <a:r>
            <a:rPr lang="en-US" cap="none" sz="18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8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8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(d_n∗ l_(n))  〗)/(∑▒l_n ) ,
где:
∑▒( d_n*l_n) - сумма характеристик участков тепловых сетей;
∑▒l_n  - общая протяженность тепловой сети в двухтрубном отчислении.
</a:t>
          </a:r>
        </a:p>
      </xdr:txBody>
    </xdr:sp>
    <xdr:clientData/>
  </xdr:oneCellAnchor>
  <xdr:oneCellAnchor>
    <xdr:from>
      <xdr:col>2</xdr:col>
      <xdr:colOff>38100</xdr:colOff>
      <xdr:row>29</xdr:row>
      <xdr:rowOff>219075</xdr:rowOff>
    </xdr:from>
    <xdr:ext cx="6134100" cy="581025"/>
    <xdr:sp fLocksText="0">
      <xdr:nvSpPr>
        <xdr:cNvPr id="17" name="TextBox 12"/>
        <xdr:cNvSpPr txBox="1">
          <a:spLocks noChangeArrowheads="1"/>
        </xdr:cNvSpPr>
      </xdr:nvSpPr>
      <xdr:spPr>
        <a:xfrm>
          <a:off x="781050" y="11087100"/>
          <a:ext cx="6134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29</xdr:row>
      <xdr:rowOff>276225</xdr:rowOff>
    </xdr:from>
    <xdr:ext cx="10248900" cy="1190625"/>
    <xdr:sp>
      <xdr:nvSpPr>
        <xdr:cNvPr id="18" name="TextBox 27"/>
        <xdr:cNvSpPr txBox="1">
          <a:spLocks noChangeArrowheads="1"/>
        </xdr:cNvSpPr>
      </xdr:nvSpPr>
      <xdr:spPr>
        <a:xfrm>
          <a:off x="733425" y="11144250"/>
          <a:ext cx="102489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11∗∑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▒l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,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где: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количество условных единиц, приходящихся на 1 км двухтрубный  тепловой сети   диам. ср. = 100 мм
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▒l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сумма протяженности участков  тепловой сети.</a:t>
          </a:r>
        </a:p>
      </xdr:txBody>
    </xdr:sp>
    <xdr:clientData/>
  </xdr:oneCellAnchor>
  <xdr:oneCellAnchor>
    <xdr:from>
      <xdr:col>2</xdr:col>
      <xdr:colOff>200025</xdr:colOff>
      <xdr:row>30</xdr:row>
      <xdr:rowOff>314325</xdr:rowOff>
    </xdr:from>
    <xdr:ext cx="7429500" cy="819150"/>
    <xdr:sp fLocksText="0">
      <xdr:nvSpPr>
        <xdr:cNvPr id="19" name="TextBox 13"/>
        <xdr:cNvSpPr txBox="1">
          <a:spLocks noChangeArrowheads="1"/>
        </xdr:cNvSpPr>
      </xdr:nvSpPr>
      <xdr:spPr>
        <a:xfrm>
          <a:off x="942975" y="12553950"/>
          <a:ext cx="7429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30</xdr:row>
      <xdr:rowOff>381000</xdr:rowOff>
    </xdr:from>
    <xdr:ext cx="10467975" cy="1647825"/>
    <xdr:sp>
      <xdr:nvSpPr>
        <xdr:cNvPr id="20" name="TextBox 30"/>
        <xdr:cNvSpPr txBox="1">
          <a:spLocks noChangeArrowheads="1"/>
        </xdr:cNvSpPr>
      </xdr:nvSpPr>
      <xdr:spPr>
        <a:xfrm>
          <a:off x="781050" y="12620625"/>
          <a:ext cx="10467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((∑▒(d_(n )∗l_n ) )/(∑▒l_n )  -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100)*0,06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∑▒l_n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где:
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(∑▒(d_(n )∗l_n ) )/(∑▒l_n )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средний диаметр;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средний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диаметр тепловой сети;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0,06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-количество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условных единиц, приходящихся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каждый следующий 1 мм среднего диаметра тепломагистрали
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∑▒l_n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сумма протяженности участков  тепловой сети.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3"/>
  <sheetViews>
    <sheetView zoomScalePageLayoutView="0" workbookViewId="0" topLeftCell="A1">
      <selection activeCell="E10" sqref="E10"/>
    </sheetView>
  </sheetViews>
  <sheetFormatPr defaultColWidth="9.140625" defaultRowHeight="15"/>
  <sheetData>
    <row r="2" spans="3:39" ht="15">
      <c r="C2" s="168" t="s">
        <v>94</v>
      </c>
      <c r="D2" s="168" t="s">
        <v>93</v>
      </c>
      <c r="E2" s="168" t="s">
        <v>92</v>
      </c>
      <c r="F2" s="168" t="s">
        <v>91</v>
      </c>
      <c r="G2" s="168" t="s">
        <v>90</v>
      </c>
      <c r="H2" s="165" t="s">
        <v>89</v>
      </c>
      <c r="I2" s="164" t="s">
        <v>88</v>
      </c>
      <c r="J2" s="164" t="s">
        <v>87</v>
      </c>
      <c r="K2" s="164" t="s">
        <v>86</v>
      </c>
      <c r="L2" s="164" t="s">
        <v>85</v>
      </c>
      <c r="M2" s="164" t="s">
        <v>84</v>
      </c>
      <c r="N2" s="158" t="s">
        <v>83</v>
      </c>
      <c r="O2" s="159"/>
      <c r="P2" s="159"/>
      <c r="Q2" s="160"/>
      <c r="R2" s="155" t="s">
        <v>82</v>
      </c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7"/>
    </row>
    <row r="3" spans="3:39" ht="15">
      <c r="C3" s="169"/>
      <c r="D3" s="169"/>
      <c r="E3" s="169"/>
      <c r="F3" s="169"/>
      <c r="G3" s="169"/>
      <c r="H3" s="166"/>
      <c r="I3" s="164"/>
      <c r="J3" s="164"/>
      <c r="K3" s="164"/>
      <c r="L3" s="164"/>
      <c r="M3" s="164"/>
      <c r="N3" s="161"/>
      <c r="O3" s="162"/>
      <c r="P3" s="162"/>
      <c r="Q3" s="163"/>
      <c r="R3" s="155" t="s">
        <v>81</v>
      </c>
      <c r="S3" s="156"/>
      <c r="T3" s="156"/>
      <c r="U3" s="157"/>
      <c r="V3" s="155" t="s">
        <v>80</v>
      </c>
      <c r="W3" s="156"/>
      <c r="X3" s="156"/>
      <c r="Y3" s="156"/>
      <c r="Z3" s="156"/>
      <c r="AA3" s="156"/>
      <c r="AB3" s="155" t="s">
        <v>79</v>
      </c>
      <c r="AC3" s="156"/>
      <c r="AD3" s="156"/>
      <c r="AE3" s="157"/>
      <c r="AF3" s="155" t="s">
        <v>78</v>
      </c>
      <c r="AG3" s="156"/>
      <c r="AH3" s="156"/>
      <c r="AI3" s="157"/>
      <c r="AJ3" s="155" t="s">
        <v>77</v>
      </c>
      <c r="AK3" s="156"/>
      <c r="AL3" s="156"/>
      <c r="AM3" s="157"/>
    </row>
    <row r="4" spans="3:39" ht="47.25" customHeight="1">
      <c r="C4" s="169"/>
      <c r="D4" s="169"/>
      <c r="E4" s="169"/>
      <c r="F4" s="169"/>
      <c r="G4" s="169"/>
      <c r="H4" s="166"/>
      <c r="I4" s="164"/>
      <c r="J4" s="164"/>
      <c r="K4" s="164"/>
      <c r="L4" s="164"/>
      <c r="M4" s="164"/>
      <c r="N4" s="50" t="s">
        <v>76</v>
      </c>
      <c r="O4" s="50" t="s">
        <v>75</v>
      </c>
      <c r="P4" s="50" t="s">
        <v>74</v>
      </c>
      <c r="Q4" s="50" t="s">
        <v>71</v>
      </c>
      <c r="R4" s="50" t="s">
        <v>76</v>
      </c>
      <c r="S4" s="50" t="s">
        <v>75</v>
      </c>
      <c r="T4" s="50" t="s">
        <v>74</v>
      </c>
      <c r="U4" s="50" t="s">
        <v>71</v>
      </c>
      <c r="V4" s="155" t="s">
        <v>76</v>
      </c>
      <c r="W4" s="157"/>
      <c r="X4" s="155" t="s">
        <v>75</v>
      </c>
      <c r="Y4" s="157"/>
      <c r="Z4" s="50" t="s">
        <v>74</v>
      </c>
      <c r="AA4" s="50" t="s">
        <v>71</v>
      </c>
      <c r="AB4" s="50" t="s">
        <v>76</v>
      </c>
      <c r="AC4" s="50" t="s">
        <v>75</v>
      </c>
      <c r="AD4" s="50" t="s">
        <v>74</v>
      </c>
      <c r="AE4" s="50" t="s">
        <v>71</v>
      </c>
      <c r="AF4" s="50" t="s">
        <v>76</v>
      </c>
      <c r="AG4" s="50" t="s">
        <v>75</v>
      </c>
      <c r="AH4" s="50" t="s">
        <v>74</v>
      </c>
      <c r="AI4" s="50" t="s">
        <v>71</v>
      </c>
      <c r="AJ4" s="50" t="s">
        <v>76</v>
      </c>
      <c r="AK4" s="50" t="s">
        <v>75</v>
      </c>
      <c r="AL4" s="50" t="s">
        <v>74</v>
      </c>
      <c r="AM4" s="50" t="s">
        <v>71</v>
      </c>
    </row>
    <row r="5" spans="3:39" ht="42.75" customHeight="1">
      <c r="C5" s="170"/>
      <c r="D5" s="170"/>
      <c r="E5" s="170"/>
      <c r="F5" s="170"/>
      <c r="G5" s="170"/>
      <c r="H5" s="167"/>
      <c r="I5" s="50"/>
      <c r="J5" s="50"/>
      <c r="K5" s="50"/>
      <c r="L5" s="50"/>
      <c r="M5" s="52"/>
      <c r="N5" s="50"/>
      <c r="O5" s="50"/>
      <c r="P5" s="50"/>
      <c r="Q5" s="50"/>
      <c r="R5" s="50"/>
      <c r="S5" s="50"/>
      <c r="T5" s="50"/>
      <c r="U5" s="50"/>
      <c r="V5" s="50" t="s">
        <v>73</v>
      </c>
      <c r="W5" s="51" t="s">
        <v>72</v>
      </c>
      <c r="X5" s="50" t="s">
        <v>73</v>
      </c>
      <c r="Y5" s="51" t="s">
        <v>72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2:39" ht="15">
      <c r="B6" t="s">
        <v>71</v>
      </c>
      <c r="C6" t="s">
        <v>397</v>
      </c>
      <c r="E6" t="s">
        <v>398</v>
      </c>
      <c r="I6">
        <f aca="true" t="shared" si="0" ref="I6:AM6">I7+I33</f>
        <v>0</v>
      </c>
      <c r="J6">
        <f t="shared" si="0"/>
        <v>26905</v>
      </c>
      <c r="K6">
        <f t="shared" si="0"/>
        <v>0</v>
      </c>
      <c r="L6">
        <f t="shared" si="0"/>
        <v>26905</v>
      </c>
      <c r="M6">
        <f t="shared" si="0"/>
        <v>2322</v>
      </c>
      <c r="N6">
        <f t="shared" si="0"/>
        <v>24583</v>
      </c>
      <c r="O6">
        <f t="shared" si="0"/>
        <v>0</v>
      </c>
      <c r="P6">
        <f t="shared" si="0"/>
        <v>0</v>
      </c>
      <c r="Q6">
        <f t="shared" si="0"/>
        <v>24583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24583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</row>
    <row r="7" spans="1:39" ht="15">
      <c r="A7" t="s">
        <v>70</v>
      </c>
      <c r="B7" s="49" t="s">
        <v>68</v>
      </c>
      <c r="I7">
        <f aca="true" t="shared" si="1" ref="I7:AM7">SUM(I8:I19)</f>
        <v>0</v>
      </c>
      <c r="J7">
        <f t="shared" si="1"/>
        <v>26905</v>
      </c>
      <c r="K7">
        <f t="shared" si="1"/>
        <v>0</v>
      </c>
      <c r="L7">
        <f t="shared" si="1"/>
        <v>26905</v>
      </c>
      <c r="M7">
        <f t="shared" si="1"/>
        <v>2322</v>
      </c>
      <c r="N7">
        <f t="shared" si="1"/>
        <v>24583</v>
      </c>
      <c r="O7">
        <f t="shared" si="1"/>
        <v>0</v>
      </c>
      <c r="P7">
        <f t="shared" si="1"/>
        <v>0</v>
      </c>
      <c r="Q7">
        <f t="shared" si="1"/>
        <v>24583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24583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  <c r="AM7">
        <f t="shared" si="1"/>
        <v>0</v>
      </c>
    </row>
    <row r="8" spans="2:39" ht="15">
      <c r="B8" s="49" t="s">
        <v>67</v>
      </c>
      <c r="I8">
        <f aca="true" t="shared" si="2" ref="I8:I19">Q8+M8+K8-J8</f>
        <v>0</v>
      </c>
      <c r="J8">
        <v>4872</v>
      </c>
      <c r="L8">
        <f aca="true" t="shared" si="3" ref="L8:L19">Q8+M8</f>
        <v>4872</v>
      </c>
      <c r="M8">
        <v>420</v>
      </c>
      <c r="N8">
        <v>4452</v>
      </c>
      <c r="Q8">
        <f aca="true" t="shared" si="4" ref="Q8:Q19">N8+O8+P8</f>
        <v>4452</v>
      </c>
      <c r="U8">
        <f aca="true" t="shared" si="5" ref="U8:U19">R8+S8+T8</f>
        <v>0</v>
      </c>
      <c r="AA8">
        <f aca="true" t="shared" si="6" ref="AA8:AA19">V8+X8+Z8</f>
        <v>0</v>
      </c>
      <c r="AE8">
        <v>4452</v>
      </c>
      <c r="AI8">
        <f aca="true" t="shared" si="7" ref="AI8:AI19">SUM(AF8:AH8)</f>
        <v>0</v>
      </c>
      <c r="AM8">
        <f aca="true" t="shared" si="8" ref="AM8:AM19">SUM(AJ8:AL8)</f>
        <v>0</v>
      </c>
    </row>
    <row r="9" spans="2:39" ht="15">
      <c r="B9" s="49" t="s">
        <v>66</v>
      </c>
      <c r="I9">
        <f t="shared" si="2"/>
        <v>0</v>
      </c>
      <c r="J9">
        <v>4954</v>
      </c>
      <c r="L9">
        <f t="shared" si="3"/>
        <v>4954</v>
      </c>
      <c r="M9">
        <v>428</v>
      </c>
      <c r="N9">
        <v>4526</v>
      </c>
      <c r="Q9">
        <f t="shared" si="4"/>
        <v>4526</v>
      </c>
      <c r="U9">
        <f t="shared" si="5"/>
        <v>0</v>
      </c>
      <c r="AA9">
        <f t="shared" si="6"/>
        <v>0</v>
      </c>
      <c r="AE9">
        <v>4526</v>
      </c>
      <c r="AI9">
        <f t="shared" si="7"/>
        <v>0</v>
      </c>
      <c r="AM9">
        <f t="shared" si="8"/>
        <v>0</v>
      </c>
    </row>
    <row r="10" spans="2:39" ht="15">
      <c r="B10" s="49" t="s">
        <v>65</v>
      </c>
      <c r="I10">
        <f t="shared" si="2"/>
        <v>0</v>
      </c>
      <c r="J10">
        <v>4429</v>
      </c>
      <c r="L10">
        <f t="shared" si="3"/>
        <v>4429</v>
      </c>
      <c r="M10">
        <v>382</v>
      </c>
      <c r="N10">
        <v>4047</v>
      </c>
      <c r="Q10">
        <f t="shared" si="4"/>
        <v>4047</v>
      </c>
      <c r="U10">
        <f t="shared" si="5"/>
        <v>0</v>
      </c>
      <c r="AA10">
        <f t="shared" si="6"/>
        <v>0</v>
      </c>
      <c r="AE10">
        <v>4047</v>
      </c>
      <c r="AI10">
        <f t="shared" si="7"/>
        <v>0</v>
      </c>
      <c r="AM10">
        <f t="shared" si="8"/>
        <v>0</v>
      </c>
    </row>
    <row r="11" spans="2:39" ht="15">
      <c r="B11" s="49" t="s">
        <v>64</v>
      </c>
      <c r="I11">
        <f t="shared" si="2"/>
        <v>0</v>
      </c>
      <c r="J11">
        <v>2107</v>
      </c>
      <c r="L11">
        <f t="shared" si="3"/>
        <v>2107</v>
      </c>
      <c r="M11">
        <v>182</v>
      </c>
      <c r="N11">
        <v>1925</v>
      </c>
      <c r="Q11">
        <f t="shared" si="4"/>
        <v>1925</v>
      </c>
      <c r="U11">
        <f t="shared" si="5"/>
        <v>0</v>
      </c>
      <c r="AA11">
        <f t="shared" si="6"/>
        <v>0</v>
      </c>
      <c r="AE11">
        <v>1925</v>
      </c>
      <c r="AI11">
        <f t="shared" si="7"/>
        <v>0</v>
      </c>
      <c r="AM11">
        <f t="shared" si="8"/>
        <v>0</v>
      </c>
    </row>
    <row r="12" spans="2:39" ht="15">
      <c r="B12" s="49" t="s">
        <v>63</v>
      </c>
      <c r="I12">
        <f t="shared" si="2"/>
        <v>0</v>
      </c>
      <c r="L12">
        <f t="shared" si="3"/>
        <v>0</v>
      </c>
      <c r="Q12">
        <f t="shared" si="4"/>
        <v>0</v>
      </c>
      <c r="U12">
        <f t="shared" si="5"/>
        <v>0</v>
      </c>
      <c r="AA12">
        <f t="shared" si="6"/>
        <v>0</v>
      </c>
      <c r="AE12">
        <f>AB12+AC12+AD12</f>
        <v>0</v>
      </c>
      <c r="AI12">
        <f t="shared" si="7"/>
        <v>0</v>
      </c>
      <c r="AM12">
        <f t="shared" si="8"/>
        <v>0</v>
      </c>
    </row>
    <row r="13" spans="2:39" ht="15">
      <c r="B13" s="49" t="s">
        <v>62</v>
      </c>
      <c r="I13">
        <f t="shared" si="2"/>
        <v>0</v>
      </c>
      <c r="L13">
        <f t="shared" si="3"/>
        <v>0</v>
      </c>
      <c r="Q13">
        <f t="shared" si="4"/>
        <v>0</v>
      </c>
      <c r="U13">
        <f t="shared" si="5"/>
        <v>0</v>
      </c>
      <c r="AA13">
        <f t="shared" si="6"/>
        <v>0</v>
      </c>
      <c r="AE13">
        <f>AB13+AC13+AD13</f>
        <v>0</v>
      </c>
      <c r="AI13">
        <f t="shared" si="7"/>
        <v>0</v>
      </c>
      <c r="AM13">
        <f t="shared" si="8"/>
        <v>0</v>
      </c>
    </row>
    <row r="14" spans="2:39" ht="15">
      <c r="B14" s="49" t="s">
        <v>61</v>
      </c>
      <c r="I14">
        <f t="shared" si="2"/>
        <v>0</v>
      </c>
      <c r="L14">
        <f t="shared" si="3"/>
        <v>0</v>
      </c>
      <c r="Q14">
        <f t="shared" si="4"/>
        <v>0</v>
      </c>
      <c r="U14">
        <f t="shared" si="5"/>
        <v>0</v>
      </c>
      <c r="AA14">
        <f t="shared" si="6"/>
        <v>0</v>
      </c>
      <c r="AE14">
        <f>AB14+AC14+AD14</f>
        <v>0</v>
      </c>
      <c r="AI14">
        <f t="shared" si="7"/>
        <v>0</v>
      </c>
      <c r="AM14">
        <f t="shared" si="8"/>
        <v>0</v>
      </c>
    </row>
    <row r="15" spans="2:39" ht="15">
      <c r="B15" s="49" t="s">
        <v>60</v>
      </c>
      <c r="I15">
        <f t="shared" si="2"/>
        <v>0</v>
      </c>
      <c r="L15">
        <f t="shared" si="3"/>
        <v>0</v>
      </c>
      <c r="Q15">
        <f t="shared" si="4"/>
        <v>0</v>
      </c>
      <c r="U15">
        <f t="shared" si="5"/>
        <v>0</v>
      </c>
      <c r="AA15">
        <f t="shared" si="6"/>
        <v>0</v>
      </c>
      <c r="AE15">
        <f>AB15+AC15+AD15</f>
        <v>0</v>
      </c>
      <c r="AI15">
        <f t="shared" si="7"/>
        <v>0</v>
      </c>
      <c r="AM15">
        <f t="shared" si="8"/>
        <v>0</v>
      </c>
    </row>
    <row r="16" spans="2:39" ht="15">
      <c r="B16" s="49" t="s">
        <v>59</v>
      </c>
      <c r="I16">
        <f t="shared" si="2"/>
        <v>0</v>
      </c>
      <c r="L16">
        <f t="shared" si="3"/>
        <v>0</v>
      </c>
      <c r="Q16">
        <f t="shared" si="4"/>
        <v>0</v>
      </c>
      <c r="U16">
        <f t="shared" si="5"/>
        <v>0</v>
      </c>
      <c r="AA16">
        <f t="shared" si="6"/>
        <v>0</v>
      </c>
      <c r="AE16">
        <f>AB16+AC16+AD16</f>
        <v>0</v>
      </c>
      <c r="AI16">
        <f t="shared" si="7"/>
        <v>0</v>
      </c>
      <c r="AM16">
        <f t="shared" si="8"/>
        <v>0</v>
      </c>
    </row>
    <row r="17" spans="2:39" ht="15">
      <c r="B17" s="49" t="s">
        <v>58</v>
      </c>
      <c r="I17">
        <f t="shared" si="2"/>
        <v>0</v>
      </c>
      <c r="J17">
        <v>1895</v>
      </c>
      <c r="L17">
        <f t="shared" si="3"/>
        <v>1895</v>
      </c>
      <c r="M17">
        <v>164</v>
      </c>
      <c r="N17">
        <v>1731</v>
      </c>
      <c r="Q17">
        <f t="shared" si="4"/>
        <v>1731</v>
      </c>
      <c r="U17">
        <f t="shared" si="5"/>
        <v>0</v>
      </c>
      <c r="AA17">
        <f t="shared" si="6"/>
        <v>0</v>
      </c>
      <c r="AE17">
        <v>1731</v>
      </c>
      <c r="AI17">
        <f t="shared" si="7"/>
        <v>0</v>
      </c>
      <c r="AM17">
        <f t="shared" si="8"/>
        <v>0</v>
      </c>
    </row>
    <row r="18" spans="2:39" ht="15">
      <c r="B18" s="49" t="s">
        <v>57</v>
      </c>
      <c r="I18">
        <f t="shared" si="2"/>
        <v>0</v>
      </c>
      <c r="J18">
        <v>3721</v>
      </c>
      <c r="L18">
        <f t="shared" si="3"/>
        <v>3721</v>
      </c>
      <c r="M18">
        <v>321</v>
      </c>
      <c r="N18">
        <v>3400</v>
      </c>
      <c r="Q18">
        <f t="shared" si="4"/>
        <v>3400</v>
      </c>
      <c r="U18">
        <f t="shared" si="5"/>
        <v>0</v>
      </c>
      <c r="AA18">
        <f t="shared" si="6"/>
        <v>0</v>
      </c>
      <c r="AE18">
        <v>3400</v>
      </c>
      <c r="AI18">
        <f t="shared" si="7"/>
        <v>0</v>
      </c>
      <c r="AM18">
        <f t="shared" si="8"/>
        <v>0</v>
      </c>
    </row>
    <row r="19" spans="2:39" ht="15">
      <c r="B19" s="49" t="s">
        <v>56</v>
      </c>
      <c r="I19">
        <f t="shared" si="2"/>
        <v>0</v>
      </c>
      <c r="J19">
        <v>4927</v>
      </c>
      <c r="L19">
        <f t="shared" si="3"/>
        <v>4927</v>
      </c>
      <c r="M19">
        <v>425</v>
      </c>
      <c r="N19">
        <v>4502</v>
      </c>
      <c r="Q19">
        <f t="shared" si="4"/>
        <v>4502</v>
      </c>
      <c r="U19">
        <f t="shared" si="5"/>
        <v>0</v>
      </c>
      <c r="AA19">
        <f t="shared" si="6"/>
        <v>0</v>
      </c>
      <c r="AE19">
        <v>4502</v>
      </c>
      <c r="AI19">
        <f t="shared" si="7"/>
        <v>0</v>
      </c>
      <c r="AM19">
        <f t="shared" si="8"/>
        <v>0</v>
      </c>
    </row>
    <row r="21" spans="1:39" ht="15">
      <c r="A21" t="s">
        <v>69</v>
      </c>
      <c r="B21" t="s">
        <v>68</v>
      </c>
      <c r="I21">
        <f aca="true" t="shared" si="9" ref="I21:AM21">SUM(I22:I33)</f>
        <v>0</v>
      </c>
      <c r="J21">
        <f t="shared" si="9"/>
        <v>0</v>
      </c>
      <c r="K21">
        <f t="shared" si="9"/>
        <v>0</v>
      </c>
      <c r="L21">
        <f t="shared" si="9"/>
        <v>0</v>
      </c>
      <c r="M21">
        <f t="shared" si="9"/>
        <v>0</v>
      </c>
      <c r="N21">
        <f t="shared" si="9"/>
        <v>0</v>
      </c>
      <c r="O21">
        <f t="shared" si="9"/>
        <v>0</v>
      </c>
      <c r="P21">
        <f t="shared" si="9"/>
        <v>0</v>
      </c>
      <c r="Q21">
        <f t="shared" si="9"/>
        <v>0</v>
      </c>
      <c r="R21">
        <f t="shared" si="9"/>
        <v>0</v>
      </c>
      <c r="S21">
        <f t="shared" si="9"/>
        <v>0</v>
      </c>
      <c r="T21">
        <f t="shared" si="9"/>
        <v>0</v>
      </c>
      <c r="U21">
        <f t="shared" si="9"/>
        <v>0</v>
      </c>
      <c r="V21">
        <f t="shared" si="9"/>
        <v>0</v>
      </c>
      <c r="W21">
        <f t="shared" si="9"/>
        <v>0</v>
      </c>
      <c r="X21">
        <f t="shared" si="9"/>
        <v>0</v>
      </c>
      <c r="Y21">
        <f t="shared" si="9"/>
        <v>0</v>
      </c>
      <c r="Z21">
        <f t="shared" si="9"/>
        <v>0</v>
      </c>
      <c r="AA21">
        <f t="shared" si="9"/>
        <v>0</v>
      </c>
      <c r="AB21">
        <f t="shared" si="9"/>
        <v>0</v>
      </c>
      <c r="AC21">
        <f t="shared" si="9"/>
        <v>0</v>
      </c>
      <c r="AD21">
        <f t="shared" si="9"/>
        <v>0</v>
      </c>
      <c r="AE21">
        <f t="shared" si="9"/>
        <v>0</v>
      </c>
      <c r="AF21">
        <f t="shared" si="9"/>
        <v>0</v>
      </c>
      <c r="AG21">
        <f t="shared" si="9"/>
        <v>0</v>
      </c>
      <c r="AH21">
        <f t="shared" si="9"/>
        <v>0</v>
      </c>
      <c r="AI21">
        <f t="shared" si="9"/>
        <v>0</v>
      </c>
      <c r="AJ21">
        <f t="shared" si="9"/>
        <v>0</v>
      </c>
      <c r="AK21">
        <f t="shared" si="9"/>
        <v>0</v>
      </c>
      <c r="AL21">
        <f t="shared" si="9"/>
        <v>0</v>
      </c>
      <c r="AM21">
        <f t="shared" si="9"/>
        <v>0</v>
      </c>
    </row>
    <row r="22" spans="2:39" ht="15">
      <c r="B22" t="s">
        <v>67</v>
      </c>
      <c r="I22">
        <f aca="true" t="shared" si="10" ref="I22:I33">Q22+M22+K22-J22</f>
        <v>0</v>
      </c>
      <c r="L22">
        <f aca="true" t="shared" si="11" ref="L22:L33">Q22+M22</f>
        <v>0</v>
      </c>
      <c r="Q22">
        <f aca="true" t="shared" si="12" ref="Q22:Q33">N22+O22+P22</f>
        <v>0</v>
      </c>
      <c r="U22">
        <f aca="true" t="shared" si="13" ref="U22:U33">R22+S22+T22</f>
        <v>0</v>
      </c>
      <c r="AA22">
        <f aca="true" t="shared" si="14" ref="AA22:AA33">V22+X22+Z22</f>
        <v>0</v>
      </c>
      <c r="AE22">
        <f aca="true" t="shared" si="15" ref="AE22:AE33">AB22+AC22+AD22</f>
        <v>0</v>
      </c>
      <c r="AI22">
        <f aca="true" t="shared" si="16" ref="AI22:AI33">SUM(AF22:AH22)</f>
        <v>0</v>
      </c>
      <c r="AM22">
        <f aca="true" t="shared" si="17" ref="AM22:AM33">SUM(AJ22:AL22)</f>
        <v>0</v>
      </c>
    </row>
    <row r="23" spans="2:39" ht="15">
      <c r="B23" t="s">
        <v>66</v>
      </c>
      <c r="I23">
        <f t="shared" si="10"/>
        <v>0</v>
      </c>
      <c r="L23">
        <f t="shared" si="11"/>
        <v>0</v>
      </c>
      <c r="Q23">
        <f t="shared" si="12"/>
        <v>0</v>
      </c>
      <c r="U23">
        <f t="shared" si="13"/>
        <v>0</v>
      </c>
      <c r="AA23">
        <f t="shared" si="14"/>
        <v>0</v>
      </c>
      <c r="AE23">
        <f t="shared" si="15"/>
        <v>0</v>
      </c>
      <c r="AI23">
        <f t="shared" si="16"/>
        <v>0</v>
      </c>
      <c r="AM23">
        <f t="shared" si="17"/>
        <v>0</v>
      </c>
    </row>
    <row r="24" spans="2:39" ht="15">
      <c r="B24" t="s">
        <v>65</v>
      </c>
      <c r="I24">
        <f t="shared" si="10"/>
        <v>0</v>
      </c>
      <c r="L24">
        <f t="shared" si="11"/>
        <v>0</v>
      </c>
      <c r="Q24">
        <f t="shared" si="12"/>
        <v>0</v>
      </c>
      <c r="U24">
        <f t="shared" si="13"/>
        <v>0</v>
      </c>
      <c r="AA24">
        <f t="shared" si="14"/>
        <v>0</v>
      </c>
      <c r="AE24">
        <f t="shared" si="15"/>
        <v>0</v>
      </c>
      <c r="AI24">
        <f t="shared" si="16"/>
        <v>0</v>
      </c>
      <c r="AM24">
        <f t="shared" si="17"/>
        <v>0</v>
      </c>
    </row>
    <row r="25" spans="2:39" ht="15">
      <c r="B25" t="s">
        <v>64</v>
      </c>
      <c r="I25">
        <f t="shared" si="10"/>
        <v>0</v>
      </c>
      <c r="L25">
        <f t="shared" si="11"/>
        <v>0</v>
      </c>
      <c r="Q25">
        <f t="shared" si="12"/>
        <v>0</v>
      </c>
      <c r="U25">
        <f t="shared" si="13"/>
        <v>0</v>
      </c>
      <c r="AA25">
        <f t="shared" si="14"/>
        <v>0</v>
      </c>
      <c r="AE25">
        <f t="shared" si="15"/>
        <v>0</v>
      </c>
      <c r="AI25">
        <f t="shared" si="16"/>
        <v>0</v>
      </c>
      <c r="AM25">
        <f t="shared" si="17"/>
        <v>0</v>
      </c>
    </row>
    <row r="26" spans="2:39" ht="15">
      <c r="B26" t="s">
        <v>63</v>
      </c>
      <c r="I26">
        <f t="shared" si="10"/>
        <v>0</v>
      </c>
      <c r="L26">
        <f t="shared" si="11"/>
        <v>0</v>
      </c>
      <c r="Q26">
        <f t="shared" si="12"/>
        <v>0</v>
      </c>
      <c r="U26">
        <f t="shared" si="13"/>
        <v>0</v>
      </c>
      <c r="AA26">
        <f t="shared" si="14"/>
        <v>0</v>
      </c>
      <c r="AE26">
        <f t="shared" si="15"/>
        <v>0</v>
      </c>
      <c r="AI26">
        <f t="shared" si="16"/>
        <v>0</v>
      </c>
      <c r="AM26">
        <f t="shared" si="17"/>
        <v>0</v>
      </c>
    </row>
    <row r="27" spans="2:39" ht="15">
      <c r="B27" t="s">
        <v>62</v>
      </c>
      <c r="I27">
        <f t="shared" si="10"/>
        <v>0</v>
      </c>
      <c r="L27">
        <f t="shared" si="11"/>
        <v>0</v>
      </c>
      <c r="Q27">
        <f t="shared" si="12"/>
        <v>0</v>
      </c>
      <c r="U27">
        <f t="shared" si="13"/>
        <v>0</v>
      </c>
      <c r="AA27">
        <f t="shared" si="14"/>
        <v>0</v>
      </c>
      <c r="AE27">
        <f t="shared" si="15"/>
        <v>0</v>
      </c>
      <c r="AI27">
        <f t="shared" si="16"/>
        <v>0</v>
      </c>
      <c r="AM27">
        <f t="shared" si="17"/>
        <v>0</v>
      </c>
    </row>
    <row r="28" spans="2:39" ht="15">
      <c r="B28" t="s">
        <v>61</v>
      </c>
      <c r="I28">
        <f t="shared" si="10"/>
        <v>0</v>
      </c>
      <c r="L28">
        <f t="shared" si="11"/>
        <v>0</v>
      </c>
      <c r="Q28">
        <f t="shared" si="12"/>
        <v>0</v>
      </c>
      <c r="U28">
        <f t="shared" si="13"/>
        <v>0</v>
      </c>
      <c r="AA28">
        <f t="shared" si="14"/>
        <v>0</v>
      </c>
      <c r="AE28">
        <f t="shared" si="15"/>
        <v>0</v>
      </c>
      <c r="AI28">
        <f t="shared" si="16"/>
        <v>0</v>
      </c>
      <c r="AM28">
        <f t="shared" si="17"/>
        <v>0</v>
      </c>
    </row>
    <row r="29" spans="2:39" ht="15">
      <c r="B29" t="s">
        <v>60</v>
      </c>
      <c r="I29">
        <f t="shared" si="10"/>
        <v>0</v>
      </c>
      <c r="L29">
        <f t="shared" si="11"/>
        <v>0</v>
      </c>
      <c r="Q29">
        <f t="shared" si="12"/>
        <v>0</v>
      </c>
      <c r="U29">
        <f t="shared" si="13"/>
        <v>0</v>
      </c>
      <c r="AA29">
        <f t="shared" si="14"/>
        <v>0</v>
      </c>
      <c r="AE29">
        <f t="shared" si="15"/>
        <v>0</v>
      </c>
      <c r="AI29">
        <f t="shared" si="16"/>
        <v>0</v>
      </c>
      <c r="AM29">
        <f t="shared" si="17"/>
        <v>0</v>
      </c>
    </row>
    <row r="30" spans="2:39" ht="15">
      <c r="B30" t="s">
        <v>59</v>
      </c>
      <c r="I30">
        <f t="shared" si="10"/>
        <v>0</v>
      </c>
      <c r="L30">
        <f t="shared" si="11"/>
        <v>0</v>
      </c>
      <c r="Q30">
        <f t="shared" si="12"/>
        <v>0</v>
      </c>
      <c r="U30">
        <f t="shared" si="13"/>
        <v>0</v>
      </c>
      <c r="AA30">
        <f t="shared" si="14"/>
        <v>0</v>
      </c>
      <c r="AE30">
        <f t="shared" si="15"/>
        <v>0</v>
      </c>
      <c r="AI30">
        <f t="shared" si="16"/>
        <v>0</v>
      </c>
      <c r="AM30">
        <f t="shared" si="17"/>
        <v>0</v>
      </c>
    </row>
    <row r="31" spans="2:39" ht="15">
      <c r="B31" t="s">
        <v>58</v>
      </c>
      <c r="I31">
        <f t="shared" si="10"/>
        <v>0</v>
      </c>
      <c r="L31">
        <f t="shared" si="11"/>
        <v>0</v>
      </c>
      <c r="Q31">
        <f t="shared" si="12"/>
        <v>0</v>
      </c>
      <c r="U31">
        <f t="shared" si="13"/>
        <v>0</v>
      </c>
      <c r="AA31">
        <f t="shared" si="14"/>
        <v>0</v>
      </c>
      <c r="AE31">
        <f t="shared" si="15"/>
        <v>0</v>
      </c>
      <c r="AI31">
        <f t="shared" si="16"/>
        <v>0</v>
      </c>
      <c r="AM31">
        <f t="shared" si="17"/>
        <v>0</v>
      </c>
    </row>
    <row r="32" spans="2:39" ht="15">
      <c r="B32" t="s">
        <v>57</v>
      </c>
      <c r="I32">
        <f t="shared" si="10"/>
        <v>0</v>
      </c>
      <c r="L32">
        <f t="shared" si="11"/>
        <v>0</v>
      </c>
      <c r="Q32">
        <f t="shared" si="12"/>
        <v>0</v>
      </c>
      <c r="U32">
        <f t="shared" si="13"/>
        <v>0</v>
      </c>
      <c r="AA32">
        <f t="shared" si="14"/>
        <v>0</v>
      </c>
      <c r="AE32">
        <f t="shared" si="15"/>
        <v>0</v>
      </c>
      <c r="AI32">
        <f t="shared" si="16"/>
        <v>0</v>
      </c>
      <c r="AM32">
        <f t="shared" si="17"/>
        <v>0</v>
      </c>
    </row>
    <row r="33" spans="2:39" ht="15">
      <c r="B33" t="s">
        <v>56</v>
      </c>
      <c r="I33">
        <f t="shared" si="10"/>
        <v>0</v>
      </c>
      <c r="L33">
        <f t="shared" si="11"/>
        <v>0</v>
      </c>
      <c r="Q33">
        <f t="shared" si="12"/>
        <v>0</v>
      </c>
      <c r="U33">
        <f t="shared" si="13"/>
        <v>0</v>
      </c>
      <c r="AA33">
        <f t="shared" si="14"/>
        <v>0</v>
      </c>
      <c r="AE33">
        <f t="shared" si="15"/>
        <v>0</v>
      </c>
      <c r="AI33">
        <f t="shared" si="16"/>
        <v>0</v>
      </c>
      <c r="AM33">
        <f t="shared" si="17"/>
        <v>0</v>
      </c>
    </row>
  </sheetData>
  <sheetProtection/>
  <mergeCells count="20">
    <mergeCell ref="K2:K4"/>
    <mergeCell ref="R3:U3"/>
    <mergeCell ref="V4:W4"/>
    <mergeCell ref="J2:J4"/>
    <mergeCell ref="H2:H5"/>
    <mergeCell ref="C2:C5"/>
    <mergeCell ref="D2:D5"/>
    <mergeCell ref="E2:E5"/>
    <mergeCell ref="F2:F5"/>
    <mergeCell ref="G2:G5"/>
    <mergeCell ref="AF3:AI3"/>
    <mergeCell ref="AJ3:AM3"/>
    <mergeCell ref="N2:Q3"/>
    <mergeCell ref="X4:Y4"/>
    <mergeCell ref="L2:L4"/>
    <mergeCell ref="I2:I4"/>
    <mergeCell ref="AB3:AE3"/>
    <mergeCell ref="M2:M4"/>
    <mergeCell ref="R2:AM2"/>
    <mergeCell ref="V3:AA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J1">
      <selection activeCell="M4" sqref="M4:M6"/>
    </sheetView>
  </sheetViews>
  <sheetFormatPr defaultColWidth="9.140625" defaultRowHeight="15"/>
  <cols>
    <col min="14" max="14" width="14.140625" style="0" customWidth="1"/>
    <col min="15" max="16" width="12.7109375" style="0" customWidth="1"/>
    <col min="19" max="19" width="10.28125" style="0" customWidth="1"/>
    <col min="20" max="20" width="11.28125" style="0" customWidth="1"/>
  </cols>
  <sheetData>
    <row r="1" ht="15">
      <c r="E1" s="64">
        <v>1</v>
      </c>
    </row>
    <row r="2" ht="15">
      <c r="C2" t="s">
        <v>114</v>
      </c>
    </row>
    <row r="3" ht="15">
      <c r="K3" s="63"/>
    </row>
    <row r="4" spans="3:24" ht="75" customHeight="1">
      <c r="C4" s="164" t="s">
        <v>94</v>
      </c>
      <c r="D4" s="164" t="s">
        <v>93</v>
      </c>
      <c r="E4" s="164" t="s">
        <v>92</v>
      </c>
      <c r="F4" s="168" t="s">
        <v>91</v>
      </c>
      <c r="G4" s="164" t="s">
        <v>90</v>
      </c>
      <c r="H4" s="165" t="s">
        <v>68</v>
      </c>
      <c r="I4" s="164" t="s">
        <v>88</v>
      </c>
      <c r="J4" s="164" t="s">
        <v>87</v>
      </c>
      <c r="K4" s="164" t="s">
        <v>86</v>
      </c>
      <c r="L4" s="164" t="s">
        <v>85</v>
      </c>
      <c r="M4" s="155" t="s">
        <v>84</v>
      </c>
      <c r="N4" s="168" t="s">
        <v>113</v>
      </c>
      <c r="O4" s="168" t="s">
        <v>112</v>
      </c>
      <c r="P4" s="168" t="s">
        <v>111</v>
      </c>
      <c r="Q4" s="171" t="s">
        <v>110</v>
      </c>
      <c r="R4" s="171" t="s">
        <v>109</v>
      </c>
      <c r="S4" s="171" t="s">
        <v>108</v>
      </c>
      <c r="T4" s="171" t="s">
        <v>107</v>
      </c>
      <c r="U4" s="171" t="s">
        <v>106</v>
      </c>
      <c r="V4" s="173" t="s">
        <v>105</v>
      </c>
      <c r="W4" s="171" t="s">
        <v>104</v>
      </c>
      <c r="X4" s="62"/>
    </row>
    <row r="5" spans="3:23" ht="15">
      <c r="C5" s="164"/>
      <c r="D5" s="164"/>
      <c r="E5" s="164"/>
      <c r="F5" s="169"/>
      <c r="G5" s="164"/>
      <c r="H5" s="166"/>
      <c r="I5" s="164"/>
      <c r="J5" s="164"/>
      <c r="K5" s="164"/>
      <c r="L5" s="164"/>
      <c r="M5" s="155"/>
      <c r="N5" s="169"/>
      <c r="O5" s="169"/>
      <c r="P5" s="169"/>
      <c r="Q5" s="176"/>
      <c r="R5" s="176"/>
      <c r="S5" s="176"/>
      <c r="T5" s="176"/>
      <c r="U5" s="176"/>
      <c r="V5" s="174"/>
      <c r="W5" s="172"/>
    </row>
    <row r="6" spans="3:23" ht="15" customHeight="1">
      <c r="C6" s="164"/>
      <c r="D6" s="164"/>
      <c r="E6" s="164"/>
      <c r="F6" s="170"/>
      <c r="G6" s="164"/>
      <c r="H6" s="166"/>
      <c r="I6" s="164"/>
      <c r="J6" s="164"/>
      <c r="K6" s="164"/>
      <c r="L6" s="164"/>
      <c r="M6" s="155"/>
      <c r="N6" s="170"/>
      <c r="O6" s="170"/>
      <c r="P6" s="170"/>
      <c r="Q6" s="172"/>
      <c r="R6" s="172"/>
      <c r="S6" s="172"/>
      <c r="T6" s="172"/>
      <c r="U6" s="172"/>
      <c r="V6" s="175"/>
      <c r="W6" s="61" t="s">
        <v>103</v>
      </c>
    </row>
    <row r="7" spans="3:23" ht="15">
      <c r="C7" s="59"/>
      <c r="D7" s="59"/>
      <c r="E7" s="59"/>
      <c r="F7" s="59"/>
      <c r="G7" s="59"/>
      <c r="H7" s="60"/>
      <c r="I7" s="59"/>
      <c r="J7" s="59"/>
      <c r="K7" s="59"/>
      <c r="L7" s="59"/>
      <c r="M7" s="58"/>
      <c r="N7" s="57"/>
      <c r="O7" s="57"/>
      <c r="P7" s="57"/>
      <c r="Q7" s="56"/>
      <c r="R7" s="56"/>
      <c r="S7" s="56"/>
      <c r="T7" s="56"/>
      <c r="U7" s="56"/>
      <c r="V7" s="56"/>
      <c r="W7" s="55"/>
    </row>
    <row r="8" spans="1:23" ht="15">
      <c r="A8" s="49"/>
      <c r="B8" s="53" t="s">
        <v>71</v>
      </c>
      <c r="C8" s="53"/>
      <c r="D8" s="53"/>
      <c r="E8" s="53"/>
      <c r="F8" s="53"/>
      <c r="G8" s="53"/>
      <c r="H8" s="53" t="s">
        <v>68</v>
      </c>
      <c r="I8" s="54">
        <f>SUM(I9:I14)</f>
        <v>0</v>
      </c>
      <c r="J8" s="54">
        <f>SUM(J9:J14)</f>
        <v>26905</v>
      </c>
      <c r="K8" s="54">
        <f>SUM(K9:K14)</f>
        <v>0</v>
      </c>
      <c r="L8" s="54">
        <f>SUM(L9:L14)</f>
        <v>26905</v>
      </c>
      <c r="M8" s="54">
        <f>SUM(M9:M14)</f>
        <v>2322</v>
      </c>
      <c r="N8" s="54"/>
      <c r="O8" s="54"/>
      <c r="P8" s="1">
        <v>1.13</v>
      </c>
      <c r="Q8" s="54">
        <f>SUM(Q9:Q14)</f>
        <v>0</v>
      </c>
      <c r="R8" s="54">
        <f>SUM(R9:R14)</f>
        <v>0</v>
      </c>
      <c r="S8" s="1"/>
      <c r="T8" s="1"/>
      <c r="U8" s="3" t="s">
        <v>95</v>
      </c>
      <c r="V8" s="1" t="e">
        <f>W8/R8*1000</f>
        <v>#DIV/0!</v>
      </c>
      <c r="W8" s="1">
        <f>SUM(W9:W14)</f>
        <v>0</v>
      </c>
    </row>
    <row r="9" spans="2:23" ht="15">
      <c r="B9" s="1" t="s">
        <v>102</v>
      </c>
      <c r="C9" s="1"/>
      <c r="D9" s="1"/>
      <c r="E9" s="1"/>
      <c r="F9" s="1"/>
      <c r="G9" s="1"/>
      <c r="H9" s="53" t="s">
        <v>68</v>
      </c>
      <c r="I9" s="1">
        <f>Баланс!I7</f>
        <v>0</v>
      </c>
      <c r="J9" s="1">
        <f>Баланс!J7</f>
        <v>26905</v>
      </c>
      <c r="K9" s="1">
        <f>Баланс!K7</f>
        <v>0</v>
      </c>
      <c r="L9" s="1">
        <f>Баланс!L7</f>
        <v>26905</v>
      </c>
      <c r="M9" s="1">
        <f>Баланс!M7</f>
        <v>2322</v>
      </c>
      <c r="N9" s="1"/>
      <c r="O9" s="1"/>
      <c r="P9" s="1">
        <v>1.13</v>
      </c>
      <c r="Q9" s="1">
        <f aca="true" t="shared" si="0" ref="Q9:Q14">N9/P9*I9/1000</f>
        <v>0</v>
      </c>
      <c r="R9" s="1">
        <f aca="true" t="shared" si="1" ref="R9:R14">O9*L9/P9/1000</f>
        <v>0</v>
      </c>
      <c r="S9" s="1"/>
      <c r="T9" s="1"/>
      <c r="U9" s="3" t="s">
        <v>95</v>
      </c>
      <c r="V9" s="1"/>
      <c r="W9" s="1">
        <f>R9*V9*Индексы!$D$8/1000</f>
        <v>0</v>
      </c>
    </row>
    <row r="10" spans="2:23" ht="15">
      <c r="B10" s="1" t="s">
        <v>101</v>
      </c>
      <c r="C10" s="1"/>
      <c r="D10" s="1"/>
      <c r="E10" s="1"/>
      <c r="F10" s="1"/>
      <c r="G10" s="1"/>
      <c r="H10" s="53" t="s">
        <v>68</v>
      </c>
      <c r="I10" s="1">
        <f>Баланс!I21</f>
        <v>0</v>
      </c>
      <c r="J10" s="1">
        <f>Баланс!J21</f>
        <v>0</v>
      </c>
      <c r="K10" s="1">
        <f>Баланс!K21</f>
        <v>0</v>
      </c>
      <c r="L10" s="1">
        <f>Баланс!L21</f>
        <v>0</v>
      </c>
      <c r="M10" s="1">
        <f>Баланс!M21</f>
        <v>0</v>
      </c>
      <c r="N10" s="1"/>
      <c r="O10" s="1"/>
      <c r="P10" s="1">
        <v>1.13</v>
      </c>
      <c r="Q10" s="1">
        <f t="shared" si="0"/>
        <v>0</v>
      </c>
      <c r="R10" s="1">
        <f t="shared" si="1"/>
        <v>0</v>
      </c>
      <c r="S10" s="1"/>
      <c r="T10" s="1"/>
      <c r="U10" s="3" t="s">
        <v>95</v>
      </c>
      <c r="V10" s="1"/>
      <c r="W10" s="1">
        <f>R10*V10*Индексы!$D$8/1000</f>
        <v>0</v>
      </c>
    </row>
    <row r="11" spans="2:23" ht="15">
      <c r="B11" s="1" t="s">
        <v>100</v>
      </c>
      <c r="C11" s="1"/>
      <c r="D11" s="1"/>
      <c r="E11" s="1"/>
      <c r="F11" s="1"/>
      <c r="G11" s="1"/>
      <c r="H11" s="53" t="s">
        <v>68</v>
      </c>
      <c r="I11" s="1">
        <f>Баланс!I22</f>
        <v>0</v>
      </c>
      <c r="J11" s="1">
        <f>Баланс!J22</f>
        <v>0</v>
      </c>
      <c r="K11" s="1">
        <f>Баланс!K22</f>
        <v>0</v>
      </c>
      <c r="L11" s="1">
        <f>Баланс!L22</f>
        <v>0</v>
      </c>
      <c r="M11" s="1">
        <f>Баланс!M22</f>
        <v>0</v>
      </c>
      <c r="N11" s="1"/>
      <c r="O11" s="1"/>
      <c r="P11" s="1">
        <v>1.13</v>
      </c>
      <c r="Q11" s="1">
        <f t="shared" si="0"/>
        <v>0</v>
      </c>
      <c r="R11" s="1">
        <f t="shared" si="1"/>
        <v>0</v>
      </c>
      <c r="S11" s="1" t="s">
        <v>99</v>
      </c>
      <c r="T11" s="1"/>
      <c r="U11" s="3" t="s">
        <v>95</v>
      </c>
      <c r="V11" s="1"/>
      <c r="W11" s="1">
        <f>R11*V11*Индексы!$D$8/1000</f>
        <v>0</v>
      </c>
    </row>
    <row r="12" spans="2:23" ht="15">
      <c r="B12" s="1" t="s">
        <v>98</v>
      </c>
      <c r="C12" s="1"/>
      <c r="D12" s="1"/>
      <c r="E12" s="1"/>
      <c r="F12" s="1"/>
      <c r="G12" s="1"/>
      <c r="H12" s="53" t="s">
        <v>68</v>
      </c>
      <c r="I12" s="1">
        <f>Баланс!I23</f>
        <v>0</v>
      </c>
      <c r="J12" s="1">
        <f>Баланс!J23</f>
        <v>0</v>
      </c>
      <c r="K12" s="1">
        <f>Баланс!K23</f>
        <v>0</v>
      </c>
      <c r="L12" s="1">
        <f>Баланс!L23</f>
        <v>0</v>
      </c>
      <c r="M12" s="1">
        <f>Баланс!M23</f>
        <v>0</v>
      </c>
      <c r="N12" s="1"/>
      <c r="O12" s="1"/>
      <c r="P12" s="1">
        <v>1.13</v>
      </c>
      <c r="Q12" s="1">
        <f t="shared" si="0"/>
        <v>0</v>
      </c>
      <c r="R12" s="1">
        <f t="shared" si="1"/>
        <v>0</v>
      </c>
      <c r="S12" s="1"/>
      <c r="T12" s="1"/>
      <c r="U12" s="3" t="s">
        <v>95</v>
      </c>
      <c r="V12" s="1"/>
      <c r="W12" s="1">
        <f>R12*V12*Индексы!$D$8/1000</f>
        <v>0</v>
      </c>
    </row>
    <row r="13" spans="2:23" ht="15">
      <c r="B13" s="1" t="s">
        <v>97</v>
      </c>
      <c r="C13" s="1"/>
      <c r="D13" s="1"/>
      <c r="E13" s="1"/>
      <c r="F13" s="1"/>
      <c r="G13" s="1"/>
      <c r="H13" s="53" t="s">
        <v>68</v>
      </c>
      <c r="I13" s="1">
        <f>Баланс!I24</f>
        <v>0</v>
      </c>
      <c r="J13" s="1">
        <f>Баланс!J24</f>
        <v>0</v>
      </c>
      <c r="K13" s="1">
        <f>Баланс!K24</f>
        <v>0</v>
      </c>
      <c r="L13" s="1">
        <f>Баланс!L24</f>
        <v>0</v>
      </c>
      <c r="M13" s="1">
        <f>Баланс!M24</f>
        <v>0</v>
      </c>
      <c r="N13" s="1"/>
      <c r="O13" s="1"/>
      <c r="P13" s="1">
        <v>1.13</v>
      </c>
      <c r="Q13" s="1">
        <f t="shared" si="0"/>
        <v>0</v>
      </c>
      <c r="R13" s="1">
        <f t="shared" si="1"/>
        <v>0</v>
      </c>
      <c r="S13" s="1"/>
      <c r="T13" s="1"/>
      <c r="U13" s="3" t="s">
        <v>95</v>
      </c>
      <c r="V13" s="1"/>
      <c r="W13" s="1">
        <f>R13*V13*Индексы!$D$8/1000</f>
        <v>0</v>
      </c>
    </row>
    <row r="14" spans="2:23" ht="15">
      <c r="B14" s="1" t="s">
        <v>96</v>
      </c>
      <c r="C14" s="1"/>
      <c r="D14" s="1"/>
      <c r="E14" s="1"/>
      <c r="F14" s="1"/>
      <c r="G14" s="1"/>
      <c r="H14" s="53" t="s">
        <v>68</v>
      </c>
      <c r="I14" s="1">
        <f>Баланс!I25</f>
        <v>0</v>
      </c>
      <c r="J14" s="1">
        <f>Баланс!J25</f>
        <v>0</v>
      </c>
      <c r="K14" s="1">
        <f>Баланс!K25</f>
        <v>0</v>
      </c>
      <c r="L14" s="1">
        <f>Баланс!L25</f>
        <v>0</v>
      </c>
      <c r="M14" s="1">
        <f>Баланс!M25</f>
        <v>0</v>
      </c>
      <c r="N14" s="1"/>
      <c r="O14" s="1"/>
      <c r="P14" s="1">
        <v>1.13</v>
      </c>
      <c r="Q14" s="1">
        <f t="shared" si="0"/>
        <v>0</v>
      </c>
      <c r="R14" s="1">
        <f t="shared" si="1"/>
        <v>0</v>
      </c>
      <c r="S14" s="1"/>
      <c r="T14" s="1"/>
      <c r="U14" s="3" t="s">
        <v>95</v>
      </c>
      <c r="V14" s="1"/>
      <c r="W14" s="1">
        <f>R14*V14*Индексы!$D$8/1000</f>
        <v>0</v>
      </c>
    </row>
  </sheetData>
  <sheetProtection/>
  <mergeCells count="21">
    <mergeCell ref="G4:G6"/>
    <mergeCell ref="I4:I6"/>
    <mergeCell ref="J4:J6"/>
    <mergeCell ref="C4:C6"/>
    <mergeCell ref="D4:D6"/>
    <mergeCell ref="E4:E6"/>
    <mergeCell ref="F4:F6"/>
    <mergeCell ref="H4:H6"/>
    <mergeCell ref="W4:W5"/>
    <mergeCell ref="V4:V6"/>
    <mergeCell ref="Q4:Q6"/>
    <mergeCell ref="R4:R6"/>
    <mergeCell ref="S4:S6"/>
    <mergeCell ref="T4:T6"/>
    <mergeCell ref="U4:U6"/>
    <mergeCell ref="L4:L6"/>
    <mergeCell ref="M4:M6"/>
    <mergeCell ref="K4:K6"/>
    <mergeCell ref="O4:O6"/>
    <mergeCell ref="N4:N6"/>
    <mergeCell ref="P4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B10">
      <pane xSplit="3" ySplit="3" topLeftCell="G16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J164" sqref="J164"/>
    </sheetView>
  </sheetViews>
  <sheetFormatPr defaultColWidth="9.140625" defaultRowHeight="15"/>
  <cols>
    <col min="2" max="2" width="11.8515625" style="0" customWidth="1"/>
    <col min="3" max="3" width="49.421875" style="0" customWidth="1"/>
    <col min="4" max="4" width="10.140625" style="0" customWidth="1"/>
    <col min="5" max="7" width="16.00390625" style="0" customWidth="1"/>
    <col min="8" max="8" width="16.140625" style="0" customWidth="1"/>
    <col min="9" max="9" width="18.28125" style="0" customWidth="1"/>
    <col min="10" max="10" width="21.7109375" style="0" customWidth="1"/>
  </cols>
  <sheetData>
    <row r="1" spans="5:7" ht="15">
      <c r="E1" s="131" t="s">
        <v>389</v>
      </c>
      <c r="F1" s="131"/>
      <c r="G1" s="131"/>
    </row>
    <row r="2" spans="1:4" ht="15.75">
      <c r="A2" s="177"/>
      <c r="B2" s="177"/>
      <c r="C2" s="177"/>
      <c r="D2" s="177"/>
    </row>
    <row r="3" spans="1:7" ht="15">
      <c r="A3" s="133" t="s">
        <v>388</v>
      </c>
      <c r="B3" s="25"/>
      <c r="C3" s="25"/>
      <c r="D3" s="25"/>
      <c r="E3" s="25"/>
      <c r="F3" s="25"/>
      <c r="G3" s="25"/>
    </row>
    <row r="5" spans="2:4" ht="15">
      <c r="B5" s="132"/>
      <c r="C5" s="132"/>
      <c r="D5" t="s">
        <v>387</v>
      </c>
    </row>
    <row r="6" spans="2:4" ht="15">
      <c r="B6" s="132"/>
      <c r="C6" s="132"/>
      <c r="D6" t="s">
        <v>386</v>
      </c>
    </row>
    <row r="7" spans="2:7" ht="15">
      <c r="B7" s="131" t="s">
        <v>385</v>
      </c>
      <c r="C7" s="131"/>
      <c r="D7" t="s">
        <v>384</v>
      </c>
      <c r="E7" s="130"/>
      <c r="F7" s="130"/>
      <c r="G7" s="130"/>
    </row>
    <row r="11" spans="1:10" ht="39" customHeight="1">
      <c r="A11" s="1"/>
      <c r="B11" s="1"/>
      <c r="C11" s="1"/>
      <c r="D11" s="1"/>
      <c r="E11" s="180" t="s">
        <v>383</v>
      </c>
      <c r="F11" s="178" t="s">
        <v>82</v>
      </c>
      <c r="G11" s="179"/>
      <c r="H11" s="180" t="s">
        <v>382</v>
      </c>
      <c r="I11" s="178" t="s">
        <v>82</v>
      </c>
      <c r="J11" s="179"/>
    </row>
    <row r="12" spans="1:10" ht="39" customHeight="1">
      <c r="A12" s="1"/>
      <c r="B12" s="1"/>
      <c r="C12" s="1"/>
      <c r="D12" s="1"/>
      <c r="E12" s="180"/>
      <c r="F12" s="59" t="s">
        <v>381</v>
      </c>
      <c r="G12" s="59" t="s">
        <v>380</v>
      </c>
      <c r="H12" s="180"/>
      <c r="I12" s="59" t="s">
        <v>381</v>
      </c>
      <c r="J12" s="59" t="s">
        <v>380</v>
      </c>
    </row>
    <row r="13" spans="1:10" ht="33.75">
      <c r="A13" s="114" t="s">
        <v>137</v>
      </c>
      <c r="B13" s="92" t="s">
        <v>379</v>
      </c>
      <c r="C13" s="92" t="s">
        <v>378</v>
      </c>
      <c r="D13" s="71" t="s">
        <v>131</v>
      </c>
      <c r="E13" s="1">
        <f>F13+G13</f>
        <v>0</v>
      </c>
      <c r="F13" s="1">
        <v>0</v>
      </c>
      <c r="G13" s="1">
        <v>0</v>
      </c>
      <c r="H13" s="1">
        <f>I13+J13</f>
        <v>0</v>
      </c>
      <c r="I13" s="1">
        <v>0</v>
      </c>
      <c r="J13" s="1">
        <v>0</v>
      </c>
    </row>
    <row r="14" spans="1:10" ht="15">
      <c r="A14" s="74"/>
      <c r="B14" s="127" t="s">
        <v>377</v>
      </c>
      <c r="C14" s="129" t="s">
        <v>376</v>
      </c>
      <c r="D14" s="71" t="s">
        <v>131</v>
      </c>
      <c r="E14" s="1"/>
      <c r="F14" s="1">
        <v>0</v>
      </c>
      <c r="G14" s="1">
        <v>0</v>
      </c>
      <c r="H14" s="1">
        <v>0</v>
      </c>
      <c r="I14" s="1">
        <f>I17*I18/1000</f>
        <v>0</v>
      </c>
      <c r="J14" s="1">
        <v>0</v>
      </c>
    </row>
    <row r="15" spans="1:10" ht="22.5">
      <c r="A15" s="74"/>
      <c r="B15" s="127"/>
      <c r="C15" s="128" t="s">
        <v>364</v>
      </c>
      <c r="D15" s="71" t="s">
        <v>363</v>
      </c>
      <c r="E15" s="1"/>
      <c r="F15" s="1"/>
      <c r="G15" s="1"/>
      <c r="H15" s="1"/>
      <c r="I15" s="1"/>
      <c r="J15" s="1"/>
    </row>
    <row r="16" spans="1:10" ht="15">
      <c r="A16" s="74"/>
      <c r="B16" s="127"/>
      <c r="C16" s="129" t="s">
        <v>111</v>
      </c>
      <c r="D16" s="71"/>
      <c r="E16" s="1"/>
      <c r="F16" s="1"/>
      <c r="G16" s="1"/>
      <c r="H16" s="1"/>
      <c r="I16" s="1"/>
      <c r="J16" s="1"/>
    </row>
    <row r="17" spans="1:10" ht="15">
      <c r="A17" s="74"/>
      <c r="B17" s="127"/>
      <c r="C17" s="129" t="s">
        <v>362</v>
      </c>
      <c r="D17" s="71" t="s">
        <v>361</v>
      </c>
      <c r="E17" s="1">
        <f>F17+G17</f>
        <v>0</v>
      </c>
      <c r="F17" s="1"/>
      <c r="G17" s="1"/>
      <c r="H17" s="1"/>
      <c r="I17" s="1"/>
      <c r="J17" s="1"/>
    </row>
    <row r="18" spans="1:10" ht="15">
      <c r="A18" s="74"/>
      <c r="B18" s="127"/>
      <c r="C18" s="129" t="s">
        <v>360</v>
      </c>
      <c r="D18" s="71" t="s">
        <v>359</v>
      </c>
      <c r="E18" s="1"/>
      <c r="F18" s="1"/>
      <c r="G18" s="1"/>
      <c r="H18" s="1"/>
      <c r="I18" s="1"/>
      <c r="J18" s="1"/>
    </row>
    <row r="19" spans="1:10" ht="15">
      <c r="A19" s="74"/>
      <c r="B19" s="127" t="s">
        <v>375</v>
      </c>
      <c r="C19" s="128" t="s">
        <v>374</v>
      </c>
      <c r="D19" s="71" t="s">
        <v>131</v>
      </c>
      <c r="E19" s="1">
        <f>F19+G19</f>
        <v>0</v>
      </c>
      <c r="F19" s="1">
        <v>0</v>
      </c>
      <c r="G19" s="1">
        <f>G22*G23</f>
        <v>0</v>
      </c>
      <c r="H19" s="1">
        <f>I19+J19</f>
        <v>0</v>
      </c>
      <c r="I19" s="1">
        <v>0</v>
      </c>
      <c r="J19" s="1">
        <v>0</v>
      </c>
    </row>
    <row r="20" spans="1:10" ht="22.5">
      <c r="A20" s="74"/>
      <c r="B20" s="127"/>
      <c r="C20" s="128" t="s">
        <v>364</v>
      </c>
      <c r="D20" s="71"/>
      <c r="E20" s="1"/>
      <c r="F20" s="1"/>
      <c r="G20" s="1"/>
      <c r="H20" s="1"/>
      <c r="I20" s="1">
        <f>F20</f>
        <v>0</v>
      </c>
      <c r="J20" s="1"/>
    </row>
    <row r="21" spans="1:10" ht="15">
      <c r="A21" s="74"/>
      <c r="B21" s="127"/>
      <c r="C21" s="128" t="s">
        <v>111</v>
      </c>
      <c r="D21" s="71"/>
      <c r="E21" s="1"/>
      <c r="F21" s="1"/>
      <c r="G21" s="1"/>
      <c r="H21" s="1"/>
      <c r="I21" s="1">
        <f>F21</f>
        <v>0</v>
      </c>
      <c r="J21" s="1"/>
    </row>
    <row r="22" spans="1:10" ht="15">
      <c r="A22" s="74"/>
      <c r="B22" s="127"/>
      <c r="C22" s="128" t="s">
        <v>362</v>
      </c>
      <c r="D22" s="71" t="s">
        <v>373</v>
      </c>
      <c r="E22" s="1">
        <f>F22+G22</f>
        <v>0</v>
      </c>
      <c r="F22" s="1">
        <v>0</v>
      </c>
      <c r="G22" s="1">
        <v>0</v>
      </c>
      <c r="H22" s="1">
        <f>I22+J22</f>
        <v>0</v>
      </c>
      <c r="I22" s="1">
        <v>0</v>
      </c>
      <c r="J22" s="1">
        <v>0</v>
      </c>
    </row>
    <row r="23" spans="1:10" ht="15">
      <c r="A23" s="74"/>
      <c r="B23" s="127"/>
      <c r="C23" s="128" t="s">
        <v>372</v>
      </c>
      <c r="D23" s="71" t="s">
        <v>371</v>
      </c>
      <c r="E23" s="1"/>
      <c r="F23" s="1"/>
      <c r="G23" s="1"/>
      <c r="H23" s="1"/>
      <c r="I23" s="1">
        <f>F23*Индексы!D8</f>
        <v>0</v>
      </c>
      <c r="J23" s="1"/>
    </row>
    <row r="24" spans="1:10" ht="15">
      <c r="A24" s="74"/>
      <c r="B24" s="127" t="s">
        <v>370</v>
      </c>
      <c r="C24" s="126" t="s">
        <v>369</v>
      </c>
      <c r="D24" s="71" t="s">
        <v>131</v>
      </c>
      <c r="E24" s="1">
        <f>F24+G24</f>
        <v>0</v>
      </c>
      <c r="F24" s="1"/>
      <c r="G24" s="1"/>
      <c r="H24" s="1"/>
      <c r="I24" s="1"/>
      <c r="J24" s="1"/>
    </row>
    <row r="25" spans="1:10" ht="22.5">
      <c r="A25" s="74"/>
      <c r="B25" s="127"/>
      <c r="C25" s="126" t="s">
        <v>364</v>
      </c>
      <c r="D25" s="71" t="s">
        <v>363</v>
      </c>
      <c r="E25" s="1"/>
      <c r="F25" s="1"/>
      <c r="G25" s="1"/>
      <c r="H25" s="1"/>
      <c r="I25" s="1"/>
      <c r="J25" s="1"/>
    </row>
    <row r="26" spans="1:10" ht="15">
      <c r="A26" s="74"/>
      <c r="B26" s="127"/>
      <c r="C26" s="126" t="s">
        <v>111</v>
      </c>
      <c r="D26" s="71"/>
      <c r="E26" s="1"/>
      <c r="F26" s="1"/>
      <c r="G26" s="1"/>
      <c r="H26" s="1"/>
      <c r="I26" s="1"/>
      <c r="J26" s="1"/>
    </row>
    <row r="27" spans="1:10" ht="15">
      <c r="A27" s="74"/>
      <c r="B27" s="127"/>
      <c r="C27" s="126" t="s">
        <v>362</v>
      </c>
      <c r="D27" s="71" t="s">
        <v>361</v>
      </c>
      <c r="E27" s="1"/>
      <c r="F27" s="1"/>
      <c r="G27" s="1"/>
      <c r="H27" s="1"/>
      <c r="I27" s="1"/>
      <c r="J27" s="1"/>
    </row>
    <row r="28" spans="1:10" ht="15">
      <c r="A28" s="74"/>
      <c r="B28" s="127"/>
      <c r="C28" s="126" t="s">
        <v>360</v>
      </c>
      <c r="D28" s="71" t="s">
        <v>359</v>
      </c>
      <c r="E28" s="1"/>
      <c r="F28" s="1"/>
      <c r="G28" s="1"/>
      <c r="H28" s="1"/>
      <c r="I28" s="1"/>
      <c r="J28" s="1"/>
    </row>
    <row r="29" spans="1:10" ht="15">
      <c r="A29" s="74"/>
      <c r="B29" s="127" t="s">
        <v>368</v>
      </c>
      <c r="C29" s="126" t="s">
        <v>367</v>
      </c>
      <c r="D29" s="71" t="s">
        <v>131</v>
      </c>
      <c r="E29" s="1">
        <f>F29+G29</f>
        <v>0</v>
      </c>
      <c r="F29" s="1"/>
      <c r="G29" s="1"/>
      <c r="H29" s="1"/>
      <c r="I29" s="1"/>
      <c r="J29" s="1"/>
    </row>
    <row r="30" spans="1:10" ht="22.5">
      <c r="A30" s="74"/>
      <c r="B30" s="127"/>
      <c r="C30" s="126" t="s">
        <v>364</v>
      </c>
      <c r="D30" s="71" t="s">
        <v>363</v>
      </c>
      <c r="E30" s="1"/>
      <c r="F30" s="1"/>
      <c r="G30" s="1"/>
      <c r="H30" s="1"/>
      <c r="I30" s="1"/>
      <c r="J30" s="1"/>
    </row>
    <row r="31" spans="1:10" ht="15">
      <c r="A31" s="74"/>
      <c r="B31" s="127"/>
      <c r="C31" s="126" t="s">
        <v>111</v>
      </c>
      <c r="D31" s="71"/>
      <c r="E31" s="1"/>
      <c r="F31" s="1"/>
      <c r="G31" s="1"/>
      <c r="H31" s="1"/>
      <c r="I31" s="1"/>
      <c r="J31" s="1"/>
    </row>
    <row r="32" spans="1:10" ht="15">
      <c r="A32" s="74"/>
      <c r="B32" s="127"/>
      <c r="C32" s="126" t="s">
        <v>362</v>
      </c>
      <c r="D32" s="71" t="s">
        <v>361</v>
      </c>
      <c r="E32" s="1">
        <f>F32+G32</f>
        <v>0</v>
      </c>
      <c r="F32" s="1"/>
      <c r="G32" s="1"/>
      <c r="H32" s="1"/>
      <c r="I32" s="1"/>
      <c r="J32" s="1"/>
    </row>
    <row r="33" spans="1:10" ht="15">
      <c r="A33" s="74"/>
      <c r="B33" s="127"/>
      <c r="C33" s="126" t="s">
        <v>360</v>
      </c>
      <c r="D33" s="71" t="s">
        <v>359</v>
      </c>
      <c r="E33" s="1"/>
      <c r="F33" s="1"/>
      <c r="G33" s="1"/>
      <c r="H33" s="1"/>
      <c r="I33" s="1"/>
      <c r="J33" s="1"/>
    </row>
    <row r="34" spans="1:10" ht="15">
      <c r="A34" s="74"/>
      <c r="B34" s="127" t="s">
        <v>366</v>
      </c>
      <c r="C34" s="126" t="s">
        <v>365</v>
      </c>
      <c r="D34" s="71" t="s">
        <v>131</v>
      </c>
      <c r="E34" s="1">
        <f>F34+G34</f>
        <v>0</v>
      </c>
      <c r="F34" s="1"/>
      <c r="G34" s="1"/>
      <c r="H34" s="1"/>
      <c r="I34" s="1"/>
      <c r="J34" s="1"/>
    </row>
    <row r="35" spans="1:10" ht="22.5">
      <c r="A35" s="74"/>
      <c r="B35" s="127"/>
      <c r="C35" s="126" t="s">
        <v>364</v>
      </c>
      <c r="D35" s="71" t="s">
        <v>363</v>
      </c>
      <c r="E35" s="1"/>
      <c r="F35" s="1"/>
      <c r="G35" s="1"/>
      <c r="H35" s="1"/>
      <c r="I35" s="1"/>
      <c r="J35" s="1"/>
    </row>
    <row r="36" spans="1:10" ht="15">
      <c r="A36" s="74"/>
      <c r="B36" s="127"/>
      <c r="C36" s="126" t="s">
        <v>111</v>
      </c>
      <c r="D36" s="71"/>
      <c r="E36" s="1"/>
      <c r="F36" s="1"/>
      <c r="G36" s="1"/>
      <c r="H36" s="1"/>
      <c r="I36" s="1"/>
      <c r="J36" s="1"/>
    </row>
    <row r="37" spans="1:10" ht="15">
      <c r="A37" s="74"/>
      <c r="B37" s="127"/>
      <c r="C37" s="126" t="s">
        <v>362</v>
      </c>
      <c r="D37" s="71" t="s">
        <v>361</v>
      </c>
      <c r="E37" s="1">
        <f>F37+G37</f>
        <v>0</v>
      </c>
      <c r="F37" s="1"/>
      <c r="G37" s="1"/>
      <c r="H37" s="1"/>
      <c r="I37" s="1"/>
      <c r="J37" s="1"/>
    </row>
    <row r="38" spans="1:10" ht="15">
      <c r="A38" s="74"/>
      <c r="B38" s="127"/>
      <c r="C38" s="126" t="s">
        <v>360</v>
      </c>
      <c r="D38" s="71" t="s">
        <v>359</v>
      </c>
      <c r="E38" s="1"/>
      <c r="F38" s="1"/>
      <c r="G38" s="1"/>
      <c r="H38" s="1"/>
      <c r="I38" s="1"/>
      <c r="J38" s="1"/>
    </row>
    <row r="39" spans="1:10" ht="15">
      <c r="A39" s="74"/>
      <c r="B39" s="92" t="s">
        <v>358</v>
      </c>
      <c r="C39" s="92" t="s">
        <v>357</v>
      </c>
      <c r="D39" s="71" t="s">
        <v>131</v>
      </c>
      <c r="E39" s="142">
        <f>F39+G39</f>
        <v>4831.24774</v>
      </c>
      <c r="F39" s="1">
        <f>F40+F43</f>
        <v>0</v>
      </c>
      <c r="G39" s="142">
        <f>G40+G43</f>
        <v>4831.24774</v>
      </c>
      <c r="H39" s="142">
        <f>I39+J39</f>
        <v>2979.0122220000003</v>
      </c>
      <c r="I39" s="1">
        <f>I40+I43</f>
        <v>0</v>
      </c>
      <c r="J39" s="142">
        <f>J40+J43</f>
        <v>2979.0122220000003</v>
      </c>
    </row>
    <row r="40" spans="1:10" ht="15">
      <c r="A40" s="114" t="s">
        <v>137</v>
      </c>
      <c r="B40" s="92" t="s">
        <v>356</v>
      </c>
      <c r="C40" s="123" t="s">
        <v>355</v>
      </c>
      <c r="D40" s="71" t="s">
        <v>131</v>
      </c>
      <c r="E40" s="142">
        <f aca="true" t="shared" si="0" ref="E40:J40">E41*E42</f>
        <v>4831.24774</v>
      </c>
      <c r="F40" s="1">
        <f t="shared" si="0"/>
        <v>0</v>
      </c>
      <c r="G40" s="142">
        <f t="shared" si="0"/>
        <v>4831.24774</v>
      </c>
      <c r="H40" s="142">
        <f t="shared" si="0"/>
        <v>2979.0122220000003</v>
      </c>
      <c r="I40" s="1">
        <f t="shared" si="0"/>
        <v>0</v>
      </c>
      <c r="J40" s="142">
        <f t="shared" si="0"/>
        <v>2979.0122220000003</v>
      </c>
    </row>
    <row r="41" spans="1:10" ht="15">
      <c r="A41" s="74"/>
      <c r="B41" s="125" t="s">
        <v>354</v>
      </c>
      <c r="C41" s="124" t="s">
        <v>353</v>
      </c>
      <c r="D41" s="71" t="s">
        <v>148</v>
      </c>
      <c r="E41" s="1">
        <v>3.89</v>
      </c>
      <c r="F41" s="1"/>
      <c r="G41" s="1">
        <v>3.89</v>
      </c>
      <c r="H41" s="1">
        <v>2.322</v>
      </c>
      <c r="I41" s="1"/>
      <c r="J41" s="1">
        <v>2.322</v>
      </c>
    </row>
    <row r="42" spans="1:10" ht="15">
      <c r="A42" s="74"/>
      <c r="B42" s="125" t="s">
        <v>352</v>
      </c>
      <c r="C42" s="124" t="s">
        <v>351</v>
      </c>
      <c r="D42" s="71" t="s">
        <v>143</v>
      </c>
      <c r="E42" s="1">
        <v>1241.966</v>
      </c>
      <c r="F42" s="1"/>
      <c r="G42" s="1">
        <v>1241.966</v>
      </c>
      <c r="H42" s="1">
        <v>1282.951</v>
      </c>
      <c r="I42" s="1"/>
      <c r="J42" s="1">
        <v>1282.951</v>
      </c>
    </row>
    <row r="43" spans="1:10" ht="15">
      <c r="A43" s="114" t="s">
        <v>137</v>
      </c>
      <c r="B43" s="92" t="s">
        <v>350</v>
      </c>
      <c r="C43" s="123" t="s">
        <v>349</v>
      </c>
      <c r="D43" s="71" t="s">
        <v>131</v>
      </c>
      <c r="E43" s="1">
        <f aca="true" t="shared" si="1" ref="E43:J43">E45*E46</f>
        <v>0</v>
      </c>
      <c r="F43" s="1">
        <f t="shared" si="1"/>
        <v>0</v>
      </c>
      <c r="G43" s="1">
        <f t="shared" si="1"/>
        <v>0</v>
      </c>
      <c r="H43" s="1">
        <f t="shared" si="1"/>
        <v>0</v>
      </c>
      <c r="I43" s="1">
        <f t="shared" si="1"/>
        <v>0</v>
      </c>
      <c r="J43" s="1">
        <f t="shared" si="1"/>
        <v>0</v>
      </c>
    </row>
    <row r="44" spans="1:10" ht="22.5">
      <c r="A44" s="74"/>
      <c r="B44" s="92"/>
      <c r="C44" s="122" t="s">
        <v>348</v>
      </c>
      <c r="D44" s="71" t="s">
        <v>347</v>
      </c>
      <c r="E44" s="1"/>
      <c r="F44" s="1"/>
      <c r="G44" s="1"/>
      <c r="H44" s="1"/>
      <c r="I44" s="1">
        <f>F44</f>
        <v>0</v>
      </c>
      <c r="J44" s="1"/>
    </row>
    <row r="45" spans="1:10" ht="15">
      <c r="A45" s="74"/>
      <c r="B45" s="92" t="s">
        <v>346</v>
      </c>
      <c r="C45" s="122" t="s">
        <v>345</v>
      </c>
      <c r="D45" s="71" t="s">
        <v>344</v>
      </c>
      <c r="E45" s="1"/>
      <c r="F45" s="1"/>
      <c r="G45" s="1"/>
      <c r="H45" s="1"/>
      <c r="I45" s="1">
        <f>F45*Индексы!D6</f>
        <v>0</v>
      </c>
      <c r="J45" s="1"/>
    </row>
    <row r="46" spans="1:10" ht="15">
      <c r="A46" s="74"/>
      <c r="B46" s="92" t="s">
        <v>343</v>
      </c>
      <c r="C46" s="122" t="s">
        <v>342</v>
      </c>
      <c r="D46" s="71" t="s">
        <v>341</v>
      </c>
      <c r="E46" s="1"/>
      <c r="F46" s="1">
        <f>F44*D168</f>
        <v>0</v>
      </c>
      <c r="G46" s="1"/>
      <c r="H46" s="1"/>
      <c r="I46" s="1">
        <f>I44*E168</f>
        <v>0</v>
      </c>
      <c r="J46" s="1"/>
    </row>
    <row r="47" spans="1:10" ht="15">
      <c r="A47" s="121" t="s">
        <v>141</v>
      </c>
      <c r="B47" s="92" t="s">
        <v>340</v>
      </c>
      <c r="C47" s="92" t="s">
        <v>339</v>
      </c>
      <c r="D47" s="71" t="s">
        <v>131</v>
      </c>
      <c r="E47" s="142">
        <f>E52+E56+E60</f>
        <v>989.6128704000001</v>
      </c>
      <c r="F47" s="1">
        <f>F48+F52+F56+F60</f>
        <v>0</v>
      </c>
      <c r="G47" s="142">
        <f>G52+G56+G60</f>
        <v>989.6128704000001</v>
      </c>
      <c r="H47" s="142">
        <f>H52+H56+H60</f>
        <v>1047.0104196</v>
      </c>
      <c r="I47" s="1">
        <f>I48+I52+I56+I60</f>
        <v>0</v>
      </c>
      <c r="J47" s="142">
        <f>J52+J56+J60</f>
        <v>1047.0104196</v>
      </c>
    </row>
    <row r="48" spans="1:10" ht="22.5">
      <c r="A48" s="74"/>
      <c r="B48" s="116" t="s">
        <v>338</v>
      </c>
      <c r="C48" s="120" t="s">
        <v>337</v>
      </c>
      <c r="D48" s="71" t="s">
        <v>131</v>
      </c>
      <c r="E48" s="1">
        <f>E49*E50</f>
        <v>0</v>
      </c>
      <c r="F48" s="1">
        <f>F49*F50*F51/1000</f>
        <v>0</v>
      </c>
      <c r="G48" s="1">
        <f>G49*G50*G51/1000</f>
        <v>0</v>
      </c>
      <c r="H48" s="1">
        <f>H49*H50</f>
        <v>0</v>
      </c>
      <c r="I48" s="1">
        <f>I49*I50*I51/1000</f>
        <v>0</v>
      </c>
      <c r="J48" s="1">
        <f>J49*J50*J51/1000</f>
        <v>0</v>
      </c>
    </row>
    <row r="49" spans="1:10" ht="22.5">
      <c r="A49" s="74"/>
      <c r="B49" s="116" t="s">
        <v>336</v>
      </c>
      <c r="C49" s="118" t="s">
        <v>335</v>
      </c>
      <c r="D49" s="71" t="s">
        <v>309</v>
      </c>
      <c r="E49" s="1"/>
      <c r="F49" s="1"/>
      <c r="G49" s="1"/>
      <c r="H49" s="1"/>
      <c r="I49" s="1"/>
      <c r="J49" s="1"/>
    </row>
    <row r="50" spans="1:10" ht="33.75">
      <c r="A50" s="74"/>
      <c r="B50" s="116" t="s">
        <v>334</v>
      </c>
      <c r="C50" s="118" t="s">
        <v>333</v>
      </c>
      <c r="D50" s="71" t="s">
        <v>306</v>
      </c>
      <c r="E50" s="1"/>
      <c r="F50" s="1"/>
      <c r="G50" s="1"/>
      <c r="H50" s="1"/>
      <c r="I50" s="1"/>
      <c r="J50" s="1"/>
    </row>
    <row r="51" spans="1:10" ht="15">
      <c r="A51" s="74"/>
      <c r="B51" s="116"/>
      <c r="C51" s="118" t="s">
        <v>314</v>
      </c>
      <c r="D51" s="71"/>
      <c r="E51" s="1"/>
      <c r="F51" s="1"/>
      <c r="G51" s="1"/>
      <c r="H51" s="1"/>
      <c r="I51" s="1"/>
      <c r="J51" s="1"/>
    </row>
    <row r="52" spans="1:10" ht="15">
      <c r="A52" s="74"/>
      <c r="B52" s="116" t="s">
        <v>332</v>
      </c>
      <c r="C52" s="120" t="s">
        <v>331</v>
      </c>
      <c r="D52" s="71" t="s">
        <v>131</v>
      </c>
      <c r="E52" s="142">
        <f aca="true" t="shared" si="2" ref="E52:J52">E53*E54*E55/1000</f>
        <v>832.4049960000001</v>
      </c>
      <c r="F52" s="1">
        <f t="shared" si="2"/>
        <v>0</v>
      </c>
      <c r="G52" s="142">
        <f t="shared" si="2"/>
        <v>832.4049960000001</v>
      </c>
      <c r="H52" s="142">
        <f t="shared" si="2"/>
        <v>880.6844879999999</v>
      </c>
      <c r="I52" s="1">
        <f t="shared" si="2"/>
        <v>0</v>
      </c>
      <c r="J52" s="142">
        <f t="shared" si="2"/>
        <v>880.6844879999999</v>
      </c>
    </row>
    <row r="53" spans="1:10" ht="22.5">
      <c r="A53" s="74"/>
      <c r="B53" s="116" t="s">
        <v>330</v>
      </c>
      <c r="C53" s="119" t="s">
        <v>329</v>
      </c>
      <c r="D53" s="71" t="s">
        <v>309</v>
      </c>
      <c r="E53" s="1">
        <v>23122.361</v>
      </c>
      <c r="F53" s="1">
        <v>0</v>
      </c>
      <c r="G53" s="1">
        <v>23122.361</v>
      </c>
      <c r="H53" s="1">
        <v>24463.458</v>
      </c>
      <c r="I53" s="1"/>
      <c r="J53" s="1">
        <v>24463.458</v>
      </c>
    </row>
    <row r="54" spans="1:10" ht="22.5">
      <c r="A54" s="74"/>
      <c r="B54" s="116" t="s">
        <v>328</v>
      </c>
      <c r="C54" s="119" t="s">
        <v>327</v>
      </c>
      <c r="D54" s="71" t="s">
        <v>306</v>
      </c>
      <c r="E54" s="1">
        <v>3</v>
      </c>
      <c r="F54" s="1">
        <v>0</v>
      </c>
      <c r="G54" s="1">
        <v>3</v>
      </c>
      <c r="H54" s="1">
        <v>3</v>
      </c>
      <c r="I54" s="1"/>
      <c r="J54" s="1">
        <v>3</v>
      </c>
    </row>
    <row r="55" spans="1:10" ht="15">
      <c r="A55" s="74"/>
      <c r="B55" s="116"/>
      <c r="C55" s="119" t="s">
        <v>314</v>
      </c>
      <c r="D55" s="71"/>
      <c r="E55" s="1">
        <v>12</v>
      </c>
      <c r="F55" s="1">
        <v>0</v>
      </c>
      <c r="G55" s="1">
        <v>12</v>
      </c>
      <c r="H55" s="1">
        <v>12</v>
      </c>
      <c r="I55" s="1"/>
      <c r="J55" s="1">
        <v>12</v>
      </c>
    </row>
    <row r="56" spans="1:10" ht="15">
      <c r="A56" s="74"/>
      <c r="B56" s="116" t="s">
        <v>326</v>
      </c>
      <c r="C56" s="120" t="s">
        <v>325</v>
      </c>
      <c r="D56" s="71" t="s">
        <v>131</v>
      </c>
      <c r="E56" s="142">
        <f aca="true" t="shared" si="3" ref="E56:J56">E57*E58*E59/1000</f>
        <v>110.9873328</v>
      </c>
      <c r="F56" s="1">
        <f t="shared" si="3"/>
        <v>0</v>
      </c>
      <c r="G56" s="142">
        <f t="shared" si="3"/>
        <v>110.9873328</v>
      </c>
      <c r="H56" s="142">
        <f t="shared" si="3"/>
        <v>117.42459840000001</v>
      </c>
      <c r="I56" s="1">
        <f t="shared" si="3"/>
        <v>0</v>
      </c>
      <c r="J56" s="142">
        <f t="shared" si="3"/>
        <v>117.42459840000001</v>
      </c>
    </row>
    <row r="57" spans="1:10" ht="15">
      <c r="A57" s="74"/>
      <c r="B57" s="116" t="s">
        <v>324</v>
      </c>
      <c r="C57" s="119" t="s">
        <v>323</v>
      </c>
      <c r="D57" s="71" t="s">
        <v>309</v>
      </c>
      <c r="E57" s="1">
        <v>23122.361</v>
      </c>
      <c r="F57" s="1"/>
      <c r="G57" s="1">
        <v>23122.361</v>
      </c>
      <c r="H57" s="1">
        <v>24463.458</v>
      </c>
      <c r="I57" s="1"/>
      <c r="J57" s="1">
        <v>24463.458</v>
      </c>
    </row>
    <row r="58" spans="1:10" ht="22.5">
      <c r="A58" s="74"/>
      <c r="B58" s="116" t="s">
        <v>322</v>
      </c>
      <c r="C58" s="119" t="s">
        <v>321</v>
      </c>
      <c r="D58" s="71"/>
      <c r="E58" s="1">
        <v>0.4</v>
      </c>
      <c r="F58" s="1"/>
      <c r="G58" s="1">
        <v>0.4</v>
      </c>
      <c r="H58" s="1">
        <v>0.4</v>
      </c>
      <c r="I58" s="1"/>
      <c r="J58" s="1">
        <v>0.4</v>
      </c>
    </row>
    <row r="59" spans="1:10" ht="15">
      <c r="A59" s="74"/>
      <c r="B59" s="116"/>
      <c r="C59" s="119" t="s">
        <v>314</v>
      </c>
      <c r="D59" s="71"/>
      <c r="E59" s="1">
        <v>12</v>
      </c>
      <c r="F59" s="1"/>
      <c r="G59" s="1">
        <v>12</v>
      </c>
      <c r="H59" s="1">
        <v>12</v>
      </c>
      <c r="I59" s="1"/>
      <c r="J59" s="1">
        <v>12</v>
      </c>
    </row>
    <row r="60" spans="1:10" ht="15">
      <c r="A60" s="74"/>
      <c r="B60" s="116" t="s">
        <v>320</v>
      </c>
      <c r="C60" s="120" t="s">
        <v>319</v>
      </c>
      <c r="D60" s="71" t="s">
        <v>131</v>
      </c>
      <c r="E60" s="142">
        <f aca="true" t="shared" si="4" ref="E60:J60">E61*E62*E63/1000</f>
        <v>46.220541600000004</v>
      </c>
      <c r="F60" s="1">
        <f t="shared" si="4"/>
        <v>0</v>
      </c>
      <c r="G60" s="142">
        <f t="shared" si="4"/>
        <v>46.220541600000004</v>
      </c>
      <c r="H60" s="142">
        <f t="shared" si="4"/>
        <v>48.9013332</v>
      </c>
      <c r="I60" s="1">
        <f t="shared" si="4"/>
        <v>0</v>
      </c>
      <c r="J60" s="142">
        <f t="shared" si="4"/>
        <v>48.9013332</v>
      </c>
    </row>
    <row r="61" spans="1:10" ht="15">
      <c r="A61" s="74"/>
      <c r="B61" s="116" t="s">
        <v>318</v>
      </c>
      <c r="C61" s="119" t="s">
        <v>317</v>
      </c>
      <c r="D61" s="71" t="s">
        <v>309</v>
      </c>
      <c r="E61" s="1">
        <v>38517.118</v>
      </c>
      <c r="F61" s="1">
        <v>0</v>
      </c>
      <c r="G61" s="1">
        <v>38517.118</v>
      </c>
      <c r="H61" s="1">
        <v>40751.111</v>
      </c>
      <c r="I61" s="1"/>
      <c r="J61" s="1">
        <v>40751.111</v>
      </c>
    </row>
    <row r="62" spans="1:10" ht="22.5">
      <c r="A62" s="74"/>
      <c r="B62" s="116" t="s">
        <v>316</v>
      </c>
      <c r="C62" s="119" t="s">
        <v>315</v>
      </c>
      <c r="D62" s="71"/>
      <c r="E62" s="1">
        <v>0.1</v>
      </c>
      <c r="F62" s="1">
        <v>0</v>
      </c>
      <c r="G62" s="1">
        <v>0.1</v>
      </c>
      <c r="H62" s="1">
        <v>0.1</v>
      </c>
      <c r="I62" s="1">
        <v>0</v>
      </c>
      <c r="J62" s="1">
        <v>0.1</v>
      </c>
    </row>
    <row r="63" spans="1:10" ht="15">
      <c r="A63" s="74"/>
      <c r="B63" s="116"/>
      <c r="C63" s="119" t="s">
        <v>314</v>
      </c>
      <c r="D63" s="71"/>
      <c r="E63" s="1">
        <v>12</v>
      </c>
      <c r="F63" s="1">
        <v>0</v>
      </c>
      <c r="G63" s="1">
        <v>12</v>
      </c>
      <c r="H63" s="1">
        <v>12</v>
      </c>
      <c r="I63" s="1"/>
      <c r="J63" s="1">
        <v>12</v>
      </c>
    </row>
    <row r="64" spans="1:10" ht="22.5">
      <c r="A64" s="74"/>
      <c r="B64" s="116" t="s">
        <v>313</v>
      </c>
      <c r="C64" s="120" t="s">
        <v>312</v>
      </c>
      <c r="D64" s="71" t="s">
        <v>131</v>
      </c>
      <c r="E64" s="1">
        <f>E65*E66</f>
        <v>0</v>
      </c>
      <c r="F64" s="1">
        <f>F65*F66*F67/1000</f>
        <v>0</v>
      </c>
      <c r="G64" s="1">
        <f>G65*G66*G67/1000</f>
        <v>0</v>
      </c>
      <c r="H64" s="1">
        <f>H65*H66</f>
        <v>0</v>
      </c>
      <c r="I64" s="1">
        <f>I65*I66*I67/1000</f>
        <v>0</v>
      </c>
      <c r="J64" s="1">
        <f>J65*J66*J67/1000</f>
        <v>0</v>
      </c>
    </row>
    <row r="65" spans="1:10" ht="22.5">
      <c r="A65" s="74"/>
      <c r="B65" s="116" t="s">
        <v>311</v>
      </c>
      <c r="C65" s="119" t="s">
        <v>310</v>
      </c>
      <c r="D65" s="71" t="s">
        <v>309</v>
      </c>
      <c r="E65" s="1"/>
      <c r="F65" s="1"/>
      <c r="G65" s="1"/>
      <c r="H65" s="1"/>
      <c r="I65" s="1"/>
      <c r="J65" s="1"/>
    </row>
    <row r="66" spans="1:10" ht="22.5">
      <c r="A66" s="74"/>
      <c r="B66" s="116" t="s">
        <v>308</v>
      </c>
      <c r="C66" s="118" t="s">
        <v>307</v>
      </c>
      <c r="D66" s="71" t="s">
        <v>306</v>
      </c>
      <c r="E66" s="1"/>
      <c r="F66" s="1"/>
      <c r="G66" s="1"/>
      <c r="H66" s="1"/>
      <c r="I66" s="1"/>
      <c r="J66" s="1"/>
    </row>
    <row r="67" spans="1:10" ht="15">
      <c r="A67" s="74"/>
      <c r="B67" s="116"/>
      <c r="C67" s="118"/>
      <c r="D67" s="71"/>
      <c r="E67" s="1"/>
      <c r="F67" s="1"/>
      <c r="G67" s="1"/>
      <c r="H67" s="1"/>
      <c r="I67" s="1"/>
      <c r="J67" s="1"/>
    </row>
    <row r="68" spans="1:10" ht="15">
      <c r="A68" s="117" t="s">
        <v>139</v>
      </c>
      <c r="B68" s="92" t="s">
        <v>305</v>
      </c>
      <c r="C68" s="92" t="s">
        <v>304</v>
      </c>
      <c r="D68" s="71" t="s">
        <v>131</v>
      </c>
      <c r="E68" s="142">
        <f aca="true" t="shared" si="5" ref="E68:J68">E70+E71+E72+E73+E74</f>
        <v>302.8215383424</v>
      </c>
      <c r="F68" s="1">
        <f t="shared" si="5"/>
        <v>0</v>
      </c>
      <c r="G68" s="142">
        <f t="shared" si="5"/>
        <v>302.8215383424</v>
      </c>
      <c r="H68" s="142">
        <f t="shared" si="5"/>
        <v>320.38518839759996</v>
      </c>
      <c r="I68" s="1">
        <f t="shared" si="5"/>
        <v>0</v>
      </c>
      <c r="J68" s="142">
        <f t="shared" si="5"/>
        <v>320.38518839759996</v>
      </c>
    </row>
    <row r="69" spans="1:10" ht="15">
      <c r="A69" s="74"/>
      <c r="B69" s="116"/>
      <c r="C69" s="115" t="s">
        <v>303</v>
      </c>
      <c r="D69" s="71"/>
      <c r="E69" s="1">
        <v>30.6</v>
      </c>
      <c r="F69" s="1">
        <v>0</v>
      </c>
      <c r="G69" s="1">
        <v>30.6</v>
      </c>
      <c r="H69" s="1">
        <v>30.6</v>
      </c>
      <c r="I69" s="1"/>
      <c r="J69" s="1">
        <v>30.6</v>
      </c>
    </row>
    <row r="70" spans="1:10" ht="22.5">
      <c r="A70" s="74"/>
      <c r="B70" s="116" t="s">
        <v>302</v>
      </c>
      <c r="C70" s="115" t="s">
        <v>301</v>
      </c>
      <c r="D70" s="71" t="s">
        <v>131</v>
      </c>
      <c r="E70" s="1">
        <f aca="true" t="shared" si="6" ref="E70:J70">E69*E48</f>
        <v>0</v>
      </c>
      <c r="F70" s="1">
        <f t="shared" si="6"/>
        <v>0</v>
      </c>
      <c r="G70" s="1">
        <f t="shared" si="6"/>
        <v>0</v>
      </c>
      <c r="H70" s="1">
        <f t="shared" si="6"/>
        <v>0</v>
      </c>
      <c r="I70" s="1">
        <f t="shared" si="6"/>
        <v>0</v>
      </c>
      <c r="J70" s="1">
        <f t="shared" si="6"/>
        <v>0</v>
      </c>
    </row>
    <row r="71" spans="1:10" ht="22.5">
      <c r="A71" s="74"/>
      <c r="B71" s="116" t="s">
        <v>300</v>
      </c>
      <c r="C71" s="115" t="s">
        <v>299</v>
      </c>
      <c r="D71" s="71" t="s">
        <v>131</v>
      </c>
      <c r="E71" s="142">
        <f>E69*E52/100</f>
        <v>254.71592877600003</v>
      </c>
      <c r="F71" s="1">
        <f>F69*F52</f>
        <v>0</v>
      </c>
      <c r="G71" s="142">
        <f>G69*G52/100</f>
        <v>254.71592877600003</v>
      </c>
      <c r="H71" s="142">
        <f>H69*H52/100</f>
        <v>269.48945332799997</v>
      </c>
      <c r="I71" s="1">
        <f>I69*I52</f>
        <v>0</v>
      </c>
      <c r="J71" s="142">
        <f>J69*J52/100</f>
        <v>269.48945332799997</v>
      </c>
    </row>
    <row r="72" spans="1:10" ht="22.5">
      <c r="A72" s="74"/>
      <c r="B72" s="116" t="s">
        <v>298</v>
      </c>
      <c r="C72" s="115" t="s">
        <v>297</v>
      </c>
      <c r="D72" s="71" t="s">
        <v>131</v>
      </c>
      <c r="E72" s="142">
        <f>E69*E56/100</f>
        <v>33.962123836800004</v>
      </c>
      <c r="F72" s="1">
        <f>F69*F56</f>
        <v>0</v>
      </c>
      <c r="G72" s="142">
        <f>G69*G56/100</f>
        <v>33.962123836800004</v>
      </c>
      <c r="H72" s="142">
        <f>H69*H56/100</f>
        <v>35.931927110400004</v>
      </c>
      <c r="I72" s="1">
        <f>I69*I56</f>
        <v>0</v>
      </c>
      <c r="J72" s="142">
        <f>J69*J56/100</f>
        <v>35.931927110400004</v>
      </c>
    </row>
    <row r="73" spans="1:10" ht="15">
      <c r="A73" s="74"/>
      <c r="B73" s="116" t="s">
        <v>296</v>
      </c>
      <c r="C73" s="115" t="s">
        <v>295</v>
      </c>
      <c r="D73" s="71" t="s">
        <v>131</v>
      </c>
      <c r="E73" s="142">
        <f>E69*E60/100</f>
        <v>14.143485729600002</v>
      </c>
      <c r="F73" s="1">
        <f>F69*F60</f>
        <v>0</v>
      </c>
      <c r="G73" s="142">
        <f>G69*G60/100</f>
        <v>14.143485729600002</v>
      </c>
      <c r="H73" s="142">
        <f>H69*H60/100</f>
        <v>14.9638079592</v>
      </c>
      <c r="I73" s="1">
        <f>I69*I60</f>
        <v>0</v>
      </c>
      <c r="J73" s="142">
        <f>J69*J60/100</f>
        <v>14.9638079592</v>
      </c>
    </row>
    <row r="74" spans="1:10" ht="22.5">
      <c r="A74" s="74"/>
      <c r="B74" s="116" t="s">
        <v>294</v>
      </c>
      <c r="C74" s="115" t="s">
        <v>293</v>
      </c>
      <c r="D74" s="71" t="s">
        <v>131</v>
      </c>
      <c r="E74" s="1">
        <f aca="true" t="shared" si="7" ref="E74:J74">E69*E64</f>
        <v>0</v>
      </c>
      <c r="F74" s="1">
        <f t="shared" si="7"/>
        <v>0</v>
      </c>
      <c r="G74" s="1">
        <f t="shared" si="7"/>
        <v>0</v>
      </c>
      <c r="H74" s="1">
        <f t="shared" si="7"/>
        <v>0</v>
      </c>
      <c r="I74" s="1">
        <f t="shared" si="7"/>
        <v>0</v>
      </c>
      <c r="J74" s="1">
        <f t="shared" si="7"/>
        <v>0</v>
      </c>
    </row>
    <row r="75" spans="1:10" ht="15">
      <c r="A75" s="74"/>
      <c r="B75" s="96"/>
      <c r="C75" s="96"/>
      <c r="D75" s="75"/>
      <c r="E75" s="1"/>
      <c r="F75" s="1"/>
      <c r="G75" s="1"/>
      <c r="H75" s="1"/>
      <c r="I75" s="1"/>
      <c r="J75" s="1"/>
    </row>
    <row r="76" spans="1:10" ht="15">
      <c r="A76" s="114" t="s">
        <v>137</v>
      </c>
      <c r="B76" s="73" t="s">
        <v>292</v>
      </c>
      <c r="C76" s="92" t="s">
        <v>291</v>
      </c>
      <c r="D76" s="71" t="s">
        <v>131</v>
      </c>
      <c r="E76" s="142">
        <f>E78*E79</f>
        <v>372.07275000000004</v>
      </c>
      <c r="F76" s="1">
        <f>F81*F82</f>
        <v>0</v>
      </c>
      <c r="G76" s="142">
        <f>G78*G79</f>
        <v>372.07275000000004</v>
      </c>
      <c r="H76" s="142">
        <f>H78*H79</f>
        <v>224.04607</v>
      </c>
      <c r="I76" s="1">
        <f>I81*I82</f>
        <v>0</v>
      </c>
      <c r="J76" s="142">
        <f>J78*J79</f>
        <v>224.04607</v>
      </c>
    </row>
    <row r="77" spans="1:10" ht="22.5">
      <c r="A77" s="74"/>
      <c r="B77" s="112"/>
      <c r="C77" s="113" t="s">
        <v>290</v>
      </c>
      <c r="D77" s="71" t="s">
        <v>281</v>
      </c>
      <c r="E77" s="1"/>
      <c r="F77" s="1"/>
      <c r="G77" s="1"/>
      <c r="H77" s="1"/>
      <c r="I77" s="1"/>
      <c r="J77" s="1"/>
    </row>
    <row r="78" spans="1:10" ht="15">
      <c r="A78" s="74"/>
      <c r="B78" s="112"/>
      <c r="C78" s="113" t="s">
        <v>287</v>
      </c>
      <c r="D78" s="71" t="s">
        <v>278</v>
      </c>
      <c r="E78" s="1">
        <v>22.925</v>
      </c>
      <c r="F78" s="1"/>
      <c r="G78" s="1">
        <v>22.925</v>
      </c>
      <c r="H78" s="1">
        <v>23.911</v>
      </c>
      <c r="I78" s="1">
        <v>0</v>
      </c>
      <c r="J78" s="1">
        <v>23.911</v>
      </c>
    </row>
    <row r="79" spans="1:10" ht="15">
      <c r="A79" s="74"/>
      <c r="B79" s="112"/>
      <c r="C79" s="113" t="s">
        <v>285</v>
      </c>
      <c r="D79" s="71" t="s">
        <v>275</v>
      </c>
      <c r="E79" s="1">
        <v>16.23</v>
      </c>
      <c r="F79" s="1">
        <f>F77*$D$168</f>
        <v>0</v>
      </c>
      <c r="G79" s="1">
        <v>16.23</v>
      </c>
      <c r="H79" s="1">
        <v>9.37</v>
      </c>
      <c r="I79" s="1">
        <v>0</v>
      </c>
      <c r="J79" s="1">
        <v>9.37</v>
      </c>
    </row>
    <row r="80" spans="1:10" ht="22.5">
      <c r="A80" s="74"/>
      <c r="B80" s="112"/>
      <c r="C80" s="113" t="s">
        <v>289</v>
      </c>
      <c r="D80" s="71" t="s">
        <v>281</v>
      </c>
      <c r="E80" s="1"/>
      <c r="F80" s="1"/>
      <c r="G80" s="1"/>
      <c r="H80" s="1"/>
      <c r="I80" s="1"/>
      <c r="J80" s="1"/>
    </row>
    <row r="81" spans="1:10" ht="15">
      <c r="A81" s="74"/>
      <c r="B81" s="112" t="s">
        <v>288</v>
      </c>
      <c r="C81" s="113" t="s">
        <v>287</v>
      </c>
      <c r="D81" s="71" t="s">
        <v>278</v>
      </c>
      <c r="E81" s="1"/>
      <c r="F81" s="1"/>
      <c r="G81" s="1"/>
      <c r="H81" s="1"/>
      <c r="I81" s="1"/>
      <c r="J81" s="1"/>
    </row>
    <row r="82" spans="1:10" ht="15">
      <c r="A82" s="74"/>
      <c r="B82" s="112" t="s">
        <v>286</v>
      </c>
      <c r="C82" s="113" t="s">
        <v>285</v>
      </c>
      <c r="D82" s="71" t="s">
        <v>275</v>
      </c>
      <c r="E82" s="1">
        <f>F82+G82</f>
        <v>0</v>
      </c>
      <c r="F82" s="1">
        <f>F80*$D$168</f>
        <v>0</v>
      </c>
      <c r="G82" s="1"/>
      <c r="H82" s="1">
        <f>I82+J82</f>
        <v>0</v>
      </c>
      <c r="I82" s="1"/>
      <c r="J82" s="1"/>
    </row>
    <row r="83" spans="1:10" ht="15">
      <c r="A83" s="114" t="s">
        <v>137</v>
      </c>
      <c r="B83" s="73" t="s">
        <v>284</v>
      </c>
      <c r="C83" s="92" t="s">
        <v>283</v>
      </c>
      <c r="D83" s="71" t="s">
        <v>131</v>
      </c>
      <c r="E83" s="1">
        <f>E85*E86</f>
        <v>0</v>
      </c>
      <c r="F83" s="1">
        <f>F85*F86</f>
        <v>0</v>
      </c>
      <c r="G83" s="1"/>
      <c r="H83" s="1">
        <f>H85*H86</f>
        <v>0</v>
      </c>
      <c r="I83" s="1">
        <f>I85*I86</f>
        <v>0</v>
      </c>
      <c r="J83" s="1">
        <f>J85*J86</f>
        <v>0</v>
      </c>
    </row>
    <row r="84" spans="1:10" ht="22.5">
      <c r="A84" s="74"/>
      <c r="B84" s="112"/>
      <c r="C84" s="113" t="s">
        <v>282</v>
      </c>
      <c r="D84" s="71" t="s">
        <v>281</v>
      </c>
      <c r="E84" s="1"/>
      <c r="F84" s="1"/>
      <c r="G84" s="1"/>
      <c r="H84" s="1"/>
      <c r="I84" s="1"/>
      <c r="J84" s="1"/>
    </row>
    <row r="85" spans="1:10" ht="15">
      <c r="A85" s="74"/>
      <c r="B85" s="112" t="s">
        <v>280</v>
      </c>
      <c r="C85" s="113" t="s">
        <v>279</v>
      </c>
      <c r="D85" s="71" t="s">
        <v>278</v>
      </c>
      <c r="E85" s="1"/>
      <c r="F85" s="1"/>
      <c r="G85" s="1"/>
      <c r="H85" s="1"/>
      <c r="I85" s="1"/>
      <c r="J85" s="1"/>
    </row>
    <row r="86" spans="1:10" ht="15">
      <c r="A86" s="74"/>
      <c r="B86" s="112" t="s">
        <v>277</v>
      </c>
      <c r="C86" s="113" t="s">
        <v>276</v>
      </c>
      <c r="D86" s="71" t="s">
        <v>275</v>
      </c>
      <c r="E86" s="1"/>
      <c r="F86" s="1">
        <f>F84*$D$168</f>
        <v>0</v>
      </c>
      <c r="G86" s="1"/>
      <c r="H86" s="1"/>
      <c r="I86" s="1">
        <f>I84*E168</f>
        <v>0</v>
      </c>
      <c r="J86" s="1"/>
    </row>
    <row r="87" spans="1:10" ht="15">
      <c r="A87" s="107" t="s">
        <v>141</v>
      </c>
      <c r="B87" s="73" t="s">
        <v>274</v>
      </c>
      <c r="C87" s="92" t="s">
        <v>273</v>
      </c>
      <c r="D87" s="89" t="s">
        <v>131</v>
      </c>
      <c r="E87" s="1">
        <f aca="true" t="shared" si="8" ref="E87:J87">E88+E89+E90+E91+E92+E93+E94</f>
        <v>9.552</v>
      </c>
      <c r="F87" s="1">
        <f t="shared" si="8"/>
        <v>0</v>
      </c>
      <c r="G87" s="1">
        <f t="shared" si="8"/>
        <v>9.552</v>
      </c>
      <c r="H87" s="1">
        <f t="shared" si="8"/>
        <v>10.08</v>
      </c>
      <c r="I87" s="1">
        <f t="shared" si="8"/>
        <v>0</v>
      </c>
      <c r="J87" s="1">
        <f t="shared" si="8"/>
        <v>10.08</v>
      </c>
    </row>
    <row r="88" spans="1:10" ht="22.5">
      <c r="A88" s="74"/>
      <c r="B88" s="112" t="s">
        <v>272</v>
      </c>
      <c r="C88" s="90" t="s">
        <v>271</v>
      </c>
      <c r="D88" s="89" t="s">
        <v>131</v>
      </c>
      <c r="E88" s="1"/>
      <c r="F88" s="1"/>
      <c r="G88" s="1"/>
      <c r="H88" s="1"/>
      <c r="I88" s="1"/>
      <c r="J88" s="1"/>
    </row>
    <row r="89" spans="1:10" ht="15">
      <c r="A89" s="74"/>
      <c r="B89" s="105" t="s">
        <v>270</v>
      </c>
      <c r="C89" s="90" t="s">
        <v>269</v>
      </c>
      <c r="D89" s="89" t="s">
        <v>131</v>
      </c>
      <c r="E89" s="1"/>
      <c r="F89" s="1"/>
      <c r="G89" s="1"/>
      <c r="H89" s="1"/>
      <c r="I89" s="1"/>
      <c r="J89" s="1"/>
    </row>
    <row r="90" spans="1:10" ht="15">
      <c r="A90" s="74"/>
      <c r="B90" s="105" t="s">
        <v>268</v>
      </c>
      <c r="C90" s="90" t="s">
        <v>267</v>
      </c>
      <c r="D90" s="89" t="s">
        <v>131</v>
      </c>
      <c r="E90" s="1"/>
      <c r="F90" s="1"/>
      <c r="G90" s="1"/>
      <c r="H90" s="1"/>
      <c r="I90" s="1"/>
      <c r="J90" s="1"/>
    </row>
    <row r="91" spans="1:10" ht="22.5">
      <c r="A91" s="74"/>
      <c r="B91" s="105" t="s">
        <v>266</v>
      </c>
      <c r="C91" s="90" t="s">
        <v>265</v>
      </c>
      <c r="D91" s="89" t="s">
        <v>131</v>
      </c>
      <c r="E91" s="1"/>
      <c r="F91" s="1"/>
      <c r="G91" s="1"/>
      <c r="H91" s="1"/>
      <c r="I91" s="1"/>
      <c r="J91" s="1"/>
    </row>
    <row r="92" spans="1:10" ht="15">
      <c r="A92" s="74"/>
      <c r="B92" s="105" t="s">
        <v>264</v>
      </c>
      <c r="C92" s="90" t="s">
        <v>263</v>
      </c>
      <c r="D92" s="89" t="s">
        <v>131</v>
      </c>
      <c r="E92" s="1">
        <v>9.552</v>
      </c>
      <c r="F92" s="1">
        <v>0</v>
      </c>
      <c r="G92" s="1">
        <v>9.552</v>
      </c>
      <c r="H92" s="1">
        <v>10.08</v>
      </c>
      <c r="I92" s="1">
        <v>0</v>
      </c>
      <c r="J92" s="1">
        <v>10.08</v>
      </c>
    </row>
    <row r="93" spans="1:10" ht="22.5">
      <c r="A93" s="74"/>
      <c r="B93" s="105" t="s">
        <v>262</v>
      </c>
      <c r="C93" s="90" t="s">
        <v>261</v>
      </c>
      <c r="D93" s="89" t="s">
        <v>131</v>
      </c>
      <c r="E93" s="1"/>
      <c r="F93" s="1"/>
      <c r="G93" s="1"/>
      <c r="H93" s="1"/>
      <c r="I93" s="1"/>
      <c r="J93" s="1"/>
    </row>
    <row r="94" spans="1:10" ht="15">
      <c r="A94" s="74"/>
      <c r="B94" s="105" t="s">
        <v>260</v>
      </c>
      <c r="C94" s="90" t="s">
        <v>259</v>
      </c>
      <c r="D94" s="89" t="s">
        <v>131</v>
      </c>
      <c r="E94" s="1"/>
      <c r="F94" s="1"/>
      <c r="G94" s="1"/>
      <c r="H94" s="1"/>
      <c r="I94" s="1"/>
      <c r="J94" s="1"/>
    </row>
    <row r="95" spans="1:10" ht="22.5">
      <c r="A95" s="107" t="s">
        <v>141</v>
      </c>
      <c r="B95" s="73" t="s">
        <v>258</v>
      </c>
      <c r="C95" s="92" t="s">
        <v>257</v>
      </c>
      <c r="D95" s="89" t="s">
        <v>131</v>
      </c>
      <c r="E95" s="1"/>
      <c r="F95" s="1"/>
      <c r="G95" s="1"/>
      <c r="H95" s="1"/>
      <c r="I95" s="1"/>
      <c r="J95" s="1"/>
    </row>
    <row r="96" spans="1:10" ht="33.75">
      <c r="A96" s="107" t="s">
        <v>141</v>
      </c>
      <c r="B96" s="73" t="s">
        <v>256</v>
      </c>
      <c r="C96" s="92" t="s">
        <v>255</v>
      </c>
      <c r="D96" s="89" t="s">
        <v>131</v>
      </c>
      <c r="E96" s="1">
        <f aca="true" t="shared" si="9" ref="E96:J96">E97+E98+E99+E100</f>
        <v>0</v>
      </c>
      <c r="F96" s="1">
        <f t="shared" si="9"/>
        <v>0</v>
      </c>
      <c r="G96" s="1">
        <f t="shared" si="9"/>
        <v>0</v>
      </c>
      <c r="H96" s="1">
        <f t="shared" si="9"/>
        <v>0</v>
      </c>
      <c r="I96" s="1">
        <f t="shared" si="9"/>
        <v>0</v>
      </c>
      <c r="J96" s="1">
        <f t="shared" si="9"/>
        <v>0</v>
      </c>
    </row>
    <row r="97" spans="1:10" ht="15">
      <c r="A97" s="74"/>
      <c r="B97" s="105" t="s">
        <v>254</v>
      </c>
      <c r="C97" s="110" t="s">
        <v>253</v>
      </c>
      <c r="D97" s="89" t="s">
        <v>131</v>
      </c>
      <c r="E97" s="1"/>
      <c r="F97" s="1"/>
      <c r="G97" s="1"/>
      <c r="H97" s="1"/>
      <c r="I97" s="1"/>
      <c r="J97" s="1"/>
    </row>
    <row r="98" spans="1:10" ht="15">
      <c r="A98" s="74"/>
      <c r="B98" s="105" t="s">
        <v>252</v>
      </c>
      <c r="C98" s="111" t="s">
        <v>251</v>
      </c>
      <c r="D98" s="89" t="s">
        <v>131</v>
      </c>
      <c r="E98" s="1"/>
      <c r="F98" s="1"/>
      <c r="G98" s="1"/>
      <c r="H98" s="1"/>
      <c r="I98" s="1"/>
      <c r="J98" s="1"/>
    </row>
    <row r="99" spans="1:10" ht="15">
      <c r="A99" s="74"/>
      <c r="B99" s="105" t="s">
        <v>250</v>
      </c>
      <c r="C99" s="110" t="s">
        <v>249</v>
      </c>
      <c r="D99" s="89" t="s">
        <v>131</v>
      </c>
      <c r="E99" s="1"/>
      <c r="F99" s="1"/>
      <c r="G99" s="1"/>
      <c r="H99" s="1"/>
      <c r="I99" s="1"/>
      <c r="J99" s="1"/>
    </row>
    <row r="100" spans="1:10" ht="15">
      <c r="A100" s="74"/>
      <c r="B100" s="105" t="s">
        <v>248</v>
      </c>
      <c r="C100" s="110" t="s">
        <v>247</v>
      </c>
      <c r="D100" s="89" t="s">
        <v>131</v>
      </c>
      <c r="E100" s="1"/>
      <c r="F100" s="1"/>
      <c r="G100" s="1"/>
      <c r="H100" s="1"/>
      <c r="I100" s="1"/>
      <c r="J100" s="1"/>
    </row>
    <row r="101" spans="1:10" ht="22.5">
      <c r="A101" s="107" t="s">
        <v>141</v>
      </c>
      <c r="B101" s="73" t="s">
        <v>246</v>
      </c>
      <c r="C101" s="92" t="s">
        <v>245</v>
      </c>
      <c r="D101" s="89" t="s">
        <v>131</v>
      </c>
      <c r="E101" s="1">
        <f aca="true" t="shared" si="10" ref="E101:J101">E102+E103+E104+E105+E106+E107+E108+E109+E110+E111+E112+E113</f>
        <v>964.22</v>
      </c>
      <c r="F101" s="1">
        <f t="shared" si="10"/>
        <v>0</v>
      </c>
      <c r="G101" s="1">
        <f t="shared" si="10"/>
        <v>964.22</v>
      </c>
      <c r="H101" s="1">
        <f t="shared" si="10"/>
        <v>45.93</v>
      </c>
      <c r="I101" s="1">
        <f t="shared" si="10"/>
        <v>0</v>
      </c>
      <c r="J101" s="1">
        <f t="shared" si="10"/>
        <v>45.93</v>
      </c>
    </row>
    <row r="102" spans="1:10" ht="15">
      <c r="A102" s="74"/>
      <c r="B102" s="105" t="s">
        <v>244</v>
      </c>
      <c r="C102" s="108" t="s">
        <v>243</v>
      </c>
      <c r="D102" s="89" t="s">
        <v>131</v>
      </c>
      <c r="E102" s="1"/>
      <c r="F102" s="1"/>
      <c r="G102" s="1"/>
      <c r="H102" s="1"/>
      <c r="I102" s="1"/>
      <c r="J102" s="1"/>
    </row>
    <row r="103" spans="1:10" ht="15">
      <c r="A103" s="74"/>
      <c r="B103" s="105" t="s">
        <v>242</v>
      </c>
      <c r="C103" s="108" t="s">
        <v>241</v>
      </c>
      <c r="D103" s="89" t="s">
        <v>131</v>
      </c>
      <c r="E103" s="1"/>
      <c r="F103" s="1"/>
      <c r="G103" s="1"/>
      <c r="H103" s="1"/>
      <c r="I103" s="1"/>
      <c r="J103" s="1"/>
    </row>
    <row r="104" spans="1:10" ht="15">
      <c r="A104" s="74"/>
      <c r="B104" s="91" t="s">
        <v>240</v>
      </c>
      <c r="C104" s="108" t="s">
        <v>239</v>
      </c>
      <c r="D104" s="89" t="s">
        <v>131</v>
      </c>
      <c r="E104" s="1"/>
      <c r="F104" s="1"/>
      <c r="G104" s="1"/>
      <c r="H104" s="1"/>
      <c r="I104" s="1"/>
      <c r="J104" s="1"/>
    </row>
    <row r="105" spans="1:10" ht="15">
      <c r="A105" s="74"/>
      <c r="B105" s="91" t="s">
        <v>238</v>
      </c>
      <c r="C105" s="109" t="s">
        <v>237</v>
      </c>
      <c r="D105" s="89" t="s">
        <v>131</v>
      </c>
      <c r="E105" s="1"/>
      <c r="F105" s="1"/>
      <c r="G105" s="1"/>
      <c r="H105" s="1"/>
      <c r="I105" s="1"/>
      <c r="J105" s="1"/>
    </row>
    <row r="106" spans="1:10" ht="15">
      <c r="A106" s="74"/>
      <c r="B106" s="91" t="s">
        <v>236</v>
      </c>
      <c r="C106" s="109" t="s">
        <v>235</v>
      </c>
      <c r="D106" s="71" t="s">
        <v>131</v>
      </c>
      <c r="E106" s="1"/>
      <c r="F106" s="1"/>
      <c r="G106" s="1"/>
      <c r="H106" s="1"/>
      <c r="I106" s="1"/>
      <c r="J106" s="1"/>
    </row>
    <row r="107" spans="1:10" ht="15">
      <c r="A107" s="74"/>
      <c r="B107" s="91" t="s">
        <v>234</v>
      </c>
      <c r="C107" s="109" t="s">
        <v>233</v>
      </c>
      <c r="D107" s="71" t="s">
        <v>131</v>
      </c>
      <c r="E107" s="1">
        <v>5.2</v>
      </c>
      <c r="F107" s="1"/>
      <c r="G107" s="1">
        <v>5.2</v>
      </c>
      <c r="H107" s="1">
        <v>5.2</v>
      </c>
      <c r="I107" s="1"/>
      <c r="J107" s="1">
        <v>5.2</v>
      </c>
    </row>
    <row r="108" spans="1:10" ht="15">
      <c r="A108" s="74"/>
      <c r="B108" s="91" t="s">
        <v>232</v>
      </c>
      <c r="C108" s="109" t="s">
        <v>231</v>
      </c>
      <c r="D108" s="71" t="s">
        <v>131</v>
      </c>
      <c r="E108" s="1"/>
      <c r="F108" s="1"/>
      <c r="G108" s="1"/>
      <c r="H108" s="1"/>
      <c r="I108" s="1"/>
      <c r="J108" s="1"/>
    </row>
    <row r="109" spans="1:10" ht="15">
      <c r="A109" s="74"/>
      <c r="B109" s="91" t="s">
        <v>230</v>
      </c>
      <c r="C109" s="108" t="s">
        <v>229</v>
      </c>
      <c r="D109" s="71" t="s">
        <v>131</v>
      </c>
      <c r="E109" s="1"/>
      <c r="F109" s="1"/>
      <c r="G109" s="1"/>
      <c r="H109" s="1"/>
      <c r="I109" s="1"/>
      <c r="J109" s="1"/>
    </row>
    <row r="110" spans="1:10" ht="22.5">
      <c r="A110" s="74"/>
      <c r="B110" s="91" t="s">
        <v>228</v>
      </c>
      <c r="C110" s="109" t="s">
        <v>227</v>
      </c>
      <c r="D110" s="71" t="s">
        <v>131</v>
      </c>
      <c r="E110" s="1">
        <v>892.96</v>
      </c>
      <c r="F110" s="1"/>
      <c r="G110" s="1">
        <v>892.96</v>
      </c>
      <c r="H110" s="1">
        <v>0</v>
      </c>
      <c r="I110" s="1"/>
      <c r="J110" s="1">
        <v>0</v>
      </c>
    </row>
    <row r="111" spans="1:10" ht="15">
      <c r="A111" s="74"/>
      <c r="B111" s="91" t="s">
        <v>226</v>
      </c>
      <c r="C111" s="109" t="s">
        <v>225</v>
      </c>
      <c r="D111" s="71" t="s">
        <v>131</v>
      </c>
      <c r="E111" s="1"/>
      <c r="F111" s="1"/>
      <c r="G111" s="1"/>
      <c r="H111" s="1"/>
      <c r="I111" s="1"/>
      <c r="J111" s="1"/>
    </row>
    <row r="112" spans="1:10" ht="22.5">
      <c r="A112" s="74"/>
      <c r="B112" s="91" t="s">
        <v>224</v>
      </c>
      <c r="C112" s="109" t="s">
        <v>223</v>
      </c>
      <c r="D112" s="71" t="s">
        <v>131</v>
      </c>
      <c r="E112" s="1"/>
      <c r="F112" s="1"/>
      <c r="G112" s="1"/>
      <c r="H112" s="1"/>
      <c r="I112" s="1"/>
      <c r="J112" s="1"/>
    </row>
    <row r="113" spans="1:10" ht="15">
      <c r="A113" s="74"/>
      <c r="B113" s="91" t="s">
        <v>222</v>
      </c>
      <c r="C113" s="108" t="s">
        <v>221</v>
      </c>
      <c r="D113" s="89" t="s">
        <v>131</v>
      </c>
      <c r="E113" s="1">
        <v>66.06</v>
      </c>
      <c r="F113" s="1"/>
      <c r="G113" s="1">
        <v>66.06</v>
      </c>
      <c r="H113" s="1">
        <v>40.73</v>
      </c>
      <c r="I113" s="1"/>
      <c r="J113" s="1">
        <v>40.73</v>
      </c>
    </row>
    <row r="114" spans="1:10" ht="15">
      <c r="A114" s="107" t="s">
        <v>141</v>
      </c>
      <c r="B114" s="73" t="s">
        <v>220</v>
      </c>
      <c r="C114" s="92" t="s">
        <v>219</v>
      </c>
      <c r="D114" s="89" t="s">
        <v>131</v>
      </c>
      <c r="E114" s="1"/>
      <c r="F114" s="1"/>
      <c r="G114" s="1"/>
      <c r="H114" s="1"/>
      <c r="I114" s="1"/>
      <c r="J114" s="1"/>
    </row>
    <row r="115" spans="1:10" ht="15">
      <c r="A115" s="107" t="s">
        <v>141</v>
      </c>
      <c r="B115" s="73" t="s">
        <v>218</v>
      </c>
      <c r="C115" s="92" t="s">
        <v>217</v>
      </c>
      <c r="D115" s="89" t="s">
        <v>131</v>
      </c>
      <c r="E115" s="1"/>
      <c r="F115" s="1"/>
      <c r="G115" s="1"/>
      <c r="H115" s="1"/>
      <c r="I115" s="1"/>
      <c r="J115" s="1"/>
    </row>
    <row r="116" spans="1:10" ht="22.5">
      <c r="A116" s="107" t="s">
        <v>141</v>
      </c>
      <c r="B116" s="73" t="s">
        <v>216</v>
      </c>
      <c r="C116" s="92" t="s">
        <v>215</v>
      </c>
      <c r="D116" s="89" t="s">
        <v>131</v>
      </c>
      <c r="E116" s="1"/>
      <c r="F116" s="1"/>
      <c r="G116" s="1"/>
      <c r="H116" s="1"/>
      <c r="I116" s="1"/>
      <c r="J116" s="1"/>
    </row>
    <row r="117" spans="1:10" ht="15">
      <c r="A117" s="107" t="s">
        <v>141</v>
      </c>
      <c r="B117" s="73" t="s">
        <v>214</v>
      </c>
      <c r="C117" s="92" t="s">
        <v>213</v>
      </c>
      <c r="D117" s="89" t="s">
        <v>131</v>
      </c>
      <c r="E117" s="1"/>
      <c r="F117" s="1"/>
      <c r="G117" s="1"/>
      <c r="H117" s="1"/>
      <c r="I117" s="1"/>
      <c r="J117" s="1"/>
    </row>
    <row r="118" spans="1:10" ht="15">
      <c r="A118" s="107" t="s">
        <v>141</v>
      </c>
      <c r="B118" s="73" t="s">
        <v>212</v>
      </c>
      <c r="C118" s="92" t="s">
        <v>211</v>
      </c>
      <c r="D118" s="89" t="s">
        <v>131</v>
      </c>
      <c r="E118" s="1"/>
      <c r="F118" s="1"/>
      <c r="G118" s="1"/>
      <c r="H118" s="1"/>
      <c r="I118" s="1"/>
      <c r="J118" s="1"/>
    </row>
    <row r="119" spans="1:10" ht="22.5">
      <c r="A119" s="101" t="s">
        <v>139</v>
      </c>
      <c r="B119" s="73" t="s">
        <v>210</v>
      </c>
      <c r="C119" s="92" t="s">
        <v>209</v>
      </c>
      <c r="D119" s="89" t="s">
        <v>131</v>
      </c>
      <c r="E119" s="1"/>
      <c r="F119" s="1"/>
      <c r="G119" s="1"/>
      <c r="H119" s="1"/>
      <c r="I119" s="1"/>
      <c r="J119" s="1"/>
    </row>
    <row r="120" spans="1:10" ht="15">
      <c r="A120" s="74"/>
      <c r="B120" s="73" t="s">
        <v>208</v>
      </c>
      <c r="C120" s="92" t="s">
        <v>207</v>
      </c>
      <c r="D120" s="89" t="s">
        <v>131</v>
      </c>
      <c r="E120" s="1">
        <f aca="true" t="shared" si="11" ref="E120:J120">E121+E122</f>
        <v>0</v>
      </c>
      <c r="F120" s="1">
        <f t="shared" si="11"/>
        <v>0</v>
      </c>
      <c r="G120" s="1">
        <f t="shared" si="11"/>
        <v>0</v>
      </c>
      <c r="H120" s="1">
        <f t="shared" si="11"/>
        <v>0</v>
      </c>
      <c r="I120" s="1">
        <f t="shared" si="11"/>
        <v>0</v>
      </c>
      <c r="J120" s="1">
        <f t="shared" si="11"/>
        <v>0</v>
      </c>
    </row>
    <row r="121" spans="1:10" ht="15">
      <c r="A121" s="101" t="s">
        <v>139</v>
      </c>
      <c r="B121" s="91" t="s">
        <v>206</v>
      </c>
      <c r="C121" s="104" t="s">
        <v>205</v>
      </c>
      <c r="D121" s="89" t="s">
        <v>131</v>
      </c>
      <c r="E121" s="1"/>
      <c r="F121" s="1"/>
      <c r="G121" s="1"/>
      <c r="H121" s="1"/>
      <c r="I121" s="1"/>
      <c r="J121" s="1"/>
    </row>
    <row r="122" spans="1:10" ht="15">
      <c r="A122" s="107" t="s">
        <v>141</v>
      </c>
      <c r="B122" s="91" t="s">
        <v>204</v>
      </c>
      <c r="C122" s="104" t="s">
        <v>203</v>
      </c>
      <c r="D122" s="89" t="s">
        <v>131</v>
      </c>
      <c r="E122" s="1"/>
      <c r="F122" s="1"/>
      <c r="G122" s="1"/>
      <c r="H122" s="1"/>
      <c r="I122" s="1"/>
      <c r="J122" s="1"/>
    </row>
    <row r="123" spans="1:10" ht="15">
      <c r="A123" s="101" t="s">
        <v>139</v>
      </c>
      <c r="B123" s="73" t="s">
        <v>202</v>
      </c>
      <c r="C123" s="92" t="s">
        <v>201</v>
      </c>
      <c r="D123" s="89" t="s">
        <v>131</v>
      </c>
      <c r="E123" s="1"/>
      <c r="F123" s="1"/>
      <c r="G123" s="1"/>
      <c r="H123" s="1"/>
      <c r="I123" s="1"/>
      <c r="J123" s="1"/>
    </row>
    <row r="124" spans="1:10" ht="22.5">
      <c r="A124" s="101" t="s">
        <v>139</v>
      </c>
      <c r="B124" s="73" t="s">
        <v>200</v>
      </c>
      <c r="C124" s="92" t="s">
        <v>199</v>
      </c>
      <c r="D124" s="89" t="s">
        <v>131</v>
      </c>
      <c r="E124" s="1">
        <f aca="true" t="shared" si="12" ref="E124:J124">E125+E126+E127+E128</f>
        <v>38.772999999999996</v>
      </c>
      <c r="F124" s="1">
        <f t="shared" si="12"/>
        <v>0</v>
      </c>
      <c r="G124" s="1">
        <f t="shared" si="12"/>
        <v>38.772999999999996</v>
      </c>
      <c r="H124" s="1">
        <f t="shared" si="12"/>
        <v>30.773</v>
      </c>
      <c r="I124" s="1">
        <f t="shared" si="12"/>
        <v>0</v>
      </c>
      <c r="J124" s="1">
        <f t="shared" si="12"/>
        <v>30.773</v>
      </c>
    </row>
    <row r="125" spans="1:10" ht="56.25">
      <c r="A125" s="74"/>
      <c r="B125" s="105" t="s">
        <v>198</v>
      </c>
      <c r="C125" s="106" t="s">
        <v>197</v>
      </c>
      <c r="D125" s="89" t="s">
        <v>131</v>
      </c>
      <c r="E125" s="1"/>
      <c r="F125" s="1"/>
      <c r="G125" s="1"/>
      <c r="H125" s="1"/>
      <c r="I125" s="1"/>
      <c r="J125" s="1"/>
    </row>
    <row r="126" spans="1:10" ht="15">
      <c r="A126" s="74"/>
      <c r="B126" s="105" t="s">
        <v>196</v>
      </c>
      <c r="C126" s="106" t="s">
        <v>195</v>
      </c>
      <c r="D126" s="89" t="s">
        <v>131</v>
      </c>
      <c r="E126" s="1"/>
      <c r="F126" s="1"/>
      <c r="G126" s="1"/>
      <c r="H126" s="1"/>
      <c r="I126" s="1"/>
      <c r="J126" s="1"/>
    </row>
    <row r="127" spans="1:10" ht="15">
      <c r="A127" s="74"/>
      <c r="B127" s="105" t="s">
        <v>194</v>
      </c>
      <c r="C127" s="106" t="s">
        <v>193</v>
      </c>
      <c r="D127" s="89" t="s">
        <v>131</v>
      </c>
      <c r="E127" s="1"/>
      <c r="F127" s="1"/>
      <c r="G127" s="1"/>
      <c r="H127" s="1"/>
      <c r="I127" s="1"/>
      <c r="J127" s="1"/>
    </row>
    <row r="128" spans="1:10" ht="15">
      <c r="A128" s="74"/>
      <c r="B128" s="105" t="s">
        <v>192</v>
      </c>
      <c r="C128" s="104" t="s">
        <v>191</v>
      </c>
      <c r="D128" s="89" t="s">
        <v>131</v>
      </c>
      <c r="E128" s="1">
        <f aca="true" t="shared" si="13" ref="E128:J128">E129+E130+E131+E132+E133</f>
        <v>38.772999999999996</v>
      </c>
      <c r="F128" s="1">
        <f t="shared" si="13"/>
        <v>0</v>
      </c>
      <c r="G128" s="1">
        <f t="shared" si="13"/>
        <v>38.772999999999996</v>
      </c>
      <c r="H128" s="1">
        <f t="shared" si="13"/>
        <v>30.773</v>
      </c>
      <c r="I128" s="1">
        <f t="shared" si="13"/>
        <v>0</v>
      </c>
      <c r="J128" s="1">
        <f t="shared" si="13"/>
        <v>30.773</v>
      </c>
    </row>
    <row r="129" spans="1:10" ht="15">
      <c r="A129" s="74"/>
      <c r="B129" s="91" t="s">
        <v>190</v>
      </c>
      <c r="C129" s="103" t="s">
        <v>189</v>
      </c>
      <c r="D129" s="89" t="s">
        <v>131</v>
      </c>
      <c r="E129" s="1"/>
      <c r="F129" s="1"/>
      <c r="G129" s="1"/>
      <c r="H129" s="1"/>
      <c r="I129" s="1"/>
      <c r="J129" s="1"/>
    </row>
    <row r="130" spans="1:10" ht="15">
      <c r="A130" s="74"/>
      <c r="B130" s="91" t="s">
        <v>188</v>
      </c>
      <c r="C130" s="103" t="s">
        <v>187</v>
      </c>
      <c r="D130" s="89" t="s">
        <v>131</v>
      </c>
      <c r="E130" s="1">
        <v>6.34</v>
      </c>
      <c r="F130" s="1"/>
      <c r="G130" s="1">
        <v>6.34</v>
      </c>
      <c r="H130" s="1">
        <v>6.34</v>
      </c>
      <c r="I130" s="1"/>
      <c r="J130" s="1">
        <v>6.34</v>
      </c>
    </row>
    <row r="131" spans="1:10" ht="15">
      <c r="A131" s="74"/>
      <c r="B131" s="91" t="s">
        <v>186</v>
      </c>
      <c r="C131" s="103" t="s">
        <v>185</v>
      </c>
      <c r="D131" s="89" t="s">
        <v>131</v>
      </c>
      <c r="E131" s="1"/>
      <c r="F131" s="1"/>
      <c r="G131" s="1"/>
      <c r="H131" s="1"/>
      <c r="I131" s="1"/>
      <c r="J131" s="1"/>
    </row>
    <row r="132" spans="1:10" ht="15">
      <c r="A132" s="74"/>
      <c r="B132" s="91" t="s">
        <v>184</v>
      </c>
      <c r="C132" s="103" t="s">
        <v>183</v>
      </c>
      <c r="D132" s="89" t="s">
        <v>131</v>
      </c>
      <c r="E132" s="1"/>
      <c r="F132" s="1"/>
      <c r="G132" s="1"/>
      <c r="H132" s="1"/>
      <c r="I132" s="1"/>
      <c r="J132" s="1"/>
    </row>
    <row r="133" spans="1:10" ht="15">
      <c r="A133" s="74"/>
      <c r="B133" s="91" t="s">
        <v>182</v>
      </c>
      <c r="C133" s="103" t="s">
        <v>181</v>
      </c>
      <c r="D133" s="89" t="s">
        <v>131</v>
      </c>
      <c r="E133" s="1">
        <v>32.433</v>
      </c>
      <c r="F133" s="1"/>
      <c r="G133" s="1">
        <v>32.433</v>
      </c>
      <c r="H133" s="1">
        <v>24.433</v>
      </c>
      <c r="I133" s="1"/>
      <c r="J133" s="1">
        <v>24.433</v>
      </c>
    </row>
    <row r="134" spans="1:10" ht="15">
      <c r="A134" s="101" t="s">
        <v>139</v>
      </c>
      <c r="B134" s="73" t="s">
        <v>180</v>
      </c>
      <c r="C134" s="92" t="s">
        <v>179</v>
      </c>
      <c r="D134" s="89" t="s">
        <v>131</v>
      </c>
      <c r="E134" s="1"/>
      <c r="F134" s="1"/>
      <c r="G134" s="1"/>
      <c r="H134" s="1"/>
      <c r="I134" s="1"/>
      <c r="J134" s="1"/>
    </row>
    <row r="135" spans="1:10" ht="22.5">
      <c r="A135" s="101" t="s">
        <v>139</v>
      </c>
      <c r="B135" s="73" t="s">
        <v>178</v>
      </c>
      <c r="C135" s="92" t="s">
        <v>177</v>
      </c>
      <c r="D135" s="89" t="s">
        <v>131</v>
      </c>
      <c r="E135" s="1">
        <f aca="true" t="shared" si="14" ref="E135:J135">E136+E137</f>
        <v>0</v>
      </c>
      <c r="F135" s="1">
        <f t="shared" si="14"/>
        <v>0</v>
      </c>
      <c r="G135" s="1">
        <f t="shared" si="14"/>
        <v>0</v>
      </c>
      <c r="H135" s="1">
        <f t="shared" si="14"/>
        <v>0</v>
      </c>
      <c r="I135" s="1">
        <f t="shared" si="14"/>
        <v>0</v>
      </c>
      <c r="J135" s="1">
        <f t="shared" si="14"/>
        <v>0</v>
      </c>
    </row>
    <row r="136" spans="1:10" ht="15">
      <c r="A136" s="74"/>
      <c r="B136" s="91" t="s">
        <v>176</v>
      </c>
      <c r="C136" s="102" t="s">
        <v>175</v>
      </c>
      <c r="D136" s="89" t="s">
        <v>131</v>
      </c>
      <c r="E136" s="1">
        <v>0</v>
      </c>
      <c r="F136" s="1"/>
      <c r="G136" s="1">
        <v>0</v>
      </c>
      <c r="H136" s="1"/>
      <c r="I136" s="1"/>
      <c r="J136" s="1"/>
    </row>
    <row r="137" spans="1:10" ht="22.5">
      <c r="A137" s="74"/>
      <c r="B137" s="91" t="s">
        <v>174</v>
      </c>
      <c r="C137" s="102" t="s">
        <v>173</v>
      </c>
      <c r="D137" s="89" t="s">
        <v>131</v>
      </c>
      <c r="E137" s="1">
        <v>0</v>
      </c>
      <c r="F137" s="1"/>
      <c r="G137" s="1">
        <v>0</v>
      </c>
      <c r="H137" s="1"/>
      <c r="I137" s="1"/>
      <c r="J137" s="1"/>
    </row>
    <row r="138" spans="1:10" ht="22.5">
      <c r="A138" s="101" t="s">
        <v>139</v>
      </c>
      <c r="B138" s="73" t="s">
        <v>172</v>
      </c>
      <c r="C138" s="92" t="s">
        <v>171</v>
      </c>
      <c r="D138" s="89" t="s">
        <v>131</v>
      </c>
      <c r="E138" s="1">
        <v>17.8</v>
      </c>
      <c r="F138" s="1">
        <v>0</v>
      </c>
      <c r="G138" s="1">
        <v>17.8</v>
      </c>
      <c r="H138" s="1">
        <v>17.8</v>
      </c>
      <c r="I138" s="1"/>
      <c r="J138" s="1">
        <v>17.8</v>
      </c>
    </row>
    <row r="139" spans="1:10" ht="15">
      <c r="A139" s="101" t="s">
        <v>139</v>
      </c>
      <c r="B139" s="73" t="s">
        <v>170</v>
      </c>
      <c r="C139" s="92" t="s">
        <v>169</v>
      </c>
      <c r="D139" s="89" t="s">
        <v>131</v>
      </c>
      <c r="E139" s="1"/>
      <c r="F139" s="1"/>
      <c r="G139" s="1"/>
      <c r="H139" s="1"/>
      <c r="I139" s="1"/>
      <c r="J139" s="1"/>
    </row>
    <row r="140" spans="1:10" ht="15">
      <c r="A140" s="101" t="s">
        <v>139</v>
      </c>
      <c r="B140" s="73" t="s">
        <v>168</v>
      </c>
      <c r="C140" s="92" t="s">
        <v>167</v>
      </c>
      <c r="D140" s="89" t="s">
        <v>131</v>
      </c>
      <c r="E140" s="1"/>
      <c r="F140" s="1"/>
      <c r="G140" s="1"/>
      <c r="H140" s="1"/>
      <c r="I140" s="1"/>
      <c r="J140" s="1"/>
    </row>
    <row r="141" spans="1:10" ht="15">
      <c r="A141" s="74"/>
      <c r="B141" s="100"/>
      <c r="C141" s="99"/>
      <c r="D141" s="98"/>
      <c r="E141" s="1"/>
      <c r="F141" s="1"/>
      <c r="G141" s="1"/>
      <c r="H141" s="1"/>
      <c r="I141" s="1"/>
      <c r="J141" s="1"/>
    </row>
    <row r="142" spans="1:10" ht="15">
      <c r="A142" s="74"/>
      <c r="B142" s="73" t="s">
        <v>166</v>
      </c>
      <c r="C142" s="92" t="s">
        <v>165</v>
      </c>
      <c r="D142" s="71" t="s">
        <v>131</v>
      </c>
      <c r="E142" s="142">
        <f aca="true" t="shared" si="15" ref="E142:J142">E13+E39+E47+E68+E76+E83+E87+E95+E96+E101+E114+E115+E116+E117+E118+E119+E120+E123+E124+E134+E135+E138+E139+E140</f>
        <v>7526.099898742401</v>
      </c>
      <c r="F142" s="1">
        <f t="shared" si="15"/>
        <v>0</v>
      </c>
      <c r="G142" s="142">
        <f t="shared" si="15"/>
        <v>7526.099898742401</v>
      </c>
      <c r="H142" s="142">
        <f t="shared" si="15"/>
        <v>4675.036899997602</v>
      </c>
      <c r="I142" s="1">
        <f t="shared" si="15"/>
        <v>0</v>
      </c>
      <c r="J142" s="142">
        <f t="shared" si="15"/>
        <v>4675.036899997602</v>
      </c>
    </row>
    <row r="143" spans="1:10" ht="15">
      <c r="A143" s="74"/>
      <c r="B143" s="97"/>
      <c r="C143" s="96"/>
      <c r="D143" s="95"/>
      <c r="E143" s="1"/>
      <c r="F143" s="1"/>
      <c r="G143" s="1"/>
      <c r="H143" s="1"/>
      <c r="I143" s="1"/>
      <c r="J143" s="1"/>
    </row>
    <row r="144" spans="1:10" ht="15">
      <c r="A144" s="74"/>
      <c r="B144" s="73" t="s">
        <v>164</v>
      </c>
      <c r="C144" s="92" t="s">
        <v>163</v>
      </c>
      <c r="D144" s="89" t="s">
        <v>131</v>
      </c>
      <c r="E144" s="1"/>
      <c r="F144" s="1"/>
      <c r="G144" s="1"/>
      <c r="H144" s="1"/>
      <c r="I144" s="1"/>
      <c r="J144" s="1"/>
    </row>
    <row r="145" spans="1:10" ht="22.5">
      <c r="A145" s="74"/>
      <c r="B145" s="73" t="s">
        <v>162</v>
      </c>
      <c r="C145" s="94" t="s">
        <v>161</v>
      </c>
      <c r="D145" s="71" t="s">
        <v>131</v>
      </c>
      <c r="E145" s="1">
        <v>98.791</v>
      </c>
      <c r="F145" s="1">
        <v>0</v>
      </c>
      <c r="G145" s="1">
        <v>98.791</v>
      </c>
      <c r="H145" s="1">
        <v>60.85</v>
      </c>
      <c r="I145" s="1"/>
      <c r="J145" s="1">
        <v>60.85</v>
      </c>
    </row>
    <row r="146" spans="1:10" ht="15">
      <c r="A146" s="93" t="s">
        <v>135</v>
      </c>
      <c r="B146" s="73" t="s">
        <v>160</v>
      </c>
      <c r="C146" s="92" t="s">
        <v>134</v>
      </c>
      <c r="D146" s="89" t="s">
        <v>131</v>
      </c>
      <c r="E146" s="1">
        <v>129.73</v>
      </c>
      <c r="F146" s="1">
        <v>0</v>
      </c>
      <c r="G146" s="1">
        <v>129.73</v>
      </c>
      <c r="H146" s="143">
        <f>H142*H147/100</f>
        <v>79.94313098995899</v>
      </c>
      <c r="I146" s="1"/>
      <c r="J146" s="143">
        <f>J142*J147/100</f>
        <v>79.94313098995899</v>
      </c>
    </row>
    <row r="147" spans="1:10" ht="15">
      <c r="A147" s="74"/>
      <c r="B147" s="91"/>
      <c r="C147" s="90" t="s">
        <v>159</v>
      </c>
      <c r="D147" s="89" t="s">
        <v>151</v>
      </c>
      <c r="E147" s="1">
        <v>1.72</v>
      </c>
      <c r="F147" s="1">
        <v>0</v>
      </c>
      <c r="G147" s="1">
        <v>1.72</v>
      </c>
      <c r="H147" s="1">
        <v>1.71</v>
      </c>
      <c r="I147" s="1"/>
      <c r="J147" s="1">
        <v>1.71</v>
      </c>
    </row>
    <row r="148" spans="1:10" ht="22.5">
      <c r="A148" s="74"/>
      <c r="B148" s="91"/>
      <c r="C148" s="90" t="s">
        <v>158</v>
      </c>
      <c r="D148" s="89" t="s">
        <v>131</v>
      </c>
      <c r="E148" s="1"/>
      <c r="F148" s="1"/>
      <c r="G148" s="1"/>
      <c r="H148" s="1"/>
      <c r="I148" s="1"/>
      <c r="J148" s="1"/>
    </row>
    <row r="149" spans="1:10" ht="15">
      <c r="A149" s="74"/>
      <c r="B149" s="91"/>
      <c r="C149" s="90" t="s">
        <v>157</v>
      </c>
      <c r="D149" s="89" t="s">
        <v>131</v>
      </c>
      <c r="E149" s="1"/>
      <c r="F149" s="1"/>
      <c r="G149" s="1"/>
      <c r="H149" s="1"/>
      <c r="I149" s="1"/>
      <c r="J149" s="1"/>
    </row>
    <row r="150" spans="1:10" ht="15">
      <c r="A150" s="74"/>
      <c r="B150" s="91"/>
      <c r="C150" s="90" t="s">
        <v>156</v>
      </c>
      <c r="D150" s="89" t="s">
        <v>131</v>
      </c>
      <c r="E150" s="1"/>
      <c r="F150" s="1"/>
      <c r="G150" s="1"/>
      <c r="H150" s="1"/>
      <c r="I150" s="1"/>
      <c r="J150" s="1"/>
    </row>
    <row r="151" spans="1:10" ht="15">
      <c r="A151" s="79"/>
      <c r="B151" s="87"/>
      <c r="C151" s="86" t="s">
        <v>155</v>
      </c>
      <c r="D151" s="71" t="s">
        <v>151</v>
      </c>
      <c r="E151" s="1"/>
      <c r="F151" s="1"/>
      <c r="G151" s="1"/>
      <c r="H151" s="1"/>
      <c r="I151" s="1">
        <v>1</v>
      </c>
      <c r="J151" s="1">
        <v>1</v>
      </c>
    </row>
    <row r="152" spans="1:10" ht="15">
      <c r="A152" s="79"/>
      <c r="B152" s="87"/>
      <c r="C152" s="86" t="s">
        <v>154</v>
      </c>
      <c r="D152" s="71" t="s">
        <v>151</v>
      </c>
      <c r="E152" s="1"/>
      <c r="F152" s="1" t="s">
        <v>153</v>
      </c>
      <c r="G152" s="1"/>
      <c r="H152" s="1"/>
      <c r="I152" s="1">
        <f>Индексы!$D$3</f>
        <v>1.058</v>
      </c>
      <c r="J152" s="1">
        <f>Индексы!$D$3</f>
        <v>1.058</v>
      </c>
    </row>
    <row r="153" spans="1:10" ht="15">
      <c r="A153" s="79"/>
      <c r="B153" s="87"/>
      <c r="C153" s="86" t="s">
        <v>152</v>
      </c>
      <c r="D153" s="71" t="s">
        <v>151</v>
      </c>
      <c r="E153" s="1"/>
      <c r="F153" s="1"/>
      <c r="G153" s="1"/>
      <c r="H153" s="1"/>
      <c r="I153" s="1"/>
      <c r="J153" s="1"/>
    </row>
    <row r="154" spans="1:10" ht="15">
      <c r="A154" s="79"/>
      <c r="B154" s="73"/>
      <c r="C154" s="85" t="s">
        <v>150</v>
      </c>
      <c r="D154" s="89" t="s">
        <v>131</v>
      </c>
      <c r="E154" s="142">
        <f aca="true" t="shared" si="16" ref="E154:J154">E142+E144-E145+E146</f>
        <v>7557.0388987424</v>
      </c>
      <c r="F154" s="1">
        <f t="shared" si="16"/>
        <v>0</v>
      </c>
      <c r="G154" s="142">
        <f t="shared" si="16"/>
        <v>7557.0388987424</v>
      </c>
      <c r="H154" s="142">
        <f t="shared" si="16"/>
        <v>4694.1300309875605</v>
      </c>
      <c r="I154" s="1">
        <f t="shared" si="16"/>
        <v>0</v>
      </c>
      <c r="J154" s="142">
        <f t="shared" si="16"/>
        <v>4694.1300309875605</v>
      </c>
    </row>
    <row r="155" spans="1:10" ht="15">
      <c r="A155" s="79"/>
      <c r="B155" s="87"/>
      <c r="C155" s="88" t="s">
        <v>149</v>
      </c>
      <c r="D155" s="71" t="s">
        <v>148</v>
      </c>
      <c r="E155" s="1">
        <v>41.199</v>
      </c>
      <c r="F155" s="1">
        <v>0</v>
      </c>
      <c r="G155" s="1">
        <v>41.199</v>
      </c>
      <c r="H155" s="1">
        <v>24.583</v>
      </c>
      <c r="I155" s="1"/>
      <c r="J155" s="1">
        <v>24.583</v>
      </c>
    </row>
    <row r="156" spans="1:10" ht="15">
      <c r="A156" s="79"/>
      <c r="B156" s="73"/>
      <c r="C156" s="85" t="s">
        <v>147</v>
      </c>
      <c r="D156" s="71" t="s">
        <v>143</v>
      </c>
      <c r="E156" s="143">
        <f>E154/E155</f>
        <v>183.42772637060125</v>
      </c>
      <c r="F156" s="1"/>
      <c r="G156" s="1"/>
      <c r="H156" s="143">
        <f>H154/H155</f>
        <v>190.95025143341175</v>
      </c>
      <c r="I156" s="1"/>
      <c r="J156" s="1"/>
    </row>
    <row r="157" spans="1:10" ht="15">
      <c r="A157" s="79"/>
      <c r="B157" s="87"/>
      <c r="C157" s="86" t="s">
        <v>146</v>
      </c>
      <c r="D157" s="71" t="s">
        <v>143</v>
      </c>
      <c r="E157" s="1"/>
      <c r="F157" s="1"/>
      <c r="G157" s="1"/>
      <c r="H157" s="1"/>
      <c r="I157" s="1"/>
      <c r="J157" s="1"/>
    </row>
    <row r="158" spans="1:10" ht="15">
      <c r="A158" s="74"/>
      <c r="B158" s="76"/>
      <c r="C158" s="76" t="s">
        <v>145</v>
      </c>
      <c r="D158" s="71" t="s">
        <v>143</v>
      </c>
      <c r="E158" s="1">
        <f>E13/E155</f>
        <v>0</v>
      </c>
      <c r="F158" s="1">
        <v>0</v>
      </c>
      <c r="G158" s="1">
        <v>0</v>
      </c>
      <c r="H158" s="1">
        <f>H13/H155</f>
        <v>0</v>
      </c>
      <c r="I158" s="1"/>
      <c r="J158" s="1"/>
    </row>
    <row r="159" spans="1:10" ht="15">
      <c r="A159" s="79"/>
      <c r="B159" s="73"/>
      <c r="C159" s="85" t="s">
        <v>144</v>
      </c>
      <c r="D159" s="71" t="s">
        <v>143</v>
      </c>
      <c r="E159" s="1"/>
      <c r="F159" s="1"/>
      <c r="G159" s="1"/>
      <c r="H159" s="1"/>
      <c r="I159" s="1"/>
      <c r="J159" s="1"/>
    </row>
    <row r="160" spans="1:10" ht="15">
      <c r="A160" s="79"/>
      <c r="B160" s="84"/>
      <c r="C160" s="83" t="s">
        <v>142</v>
      </c>
      <c r="D160" s="83"/>
      <c r="E160" s="1"/>
      <c r="F160" s="1"/>
      <c r="G160" s="1"/>
      <c r="H160" s="1" t="e">
        <f>H158/E158</f>
        <v>#DIV/0!</v>
      </c>
      <c r="I160" s="1"/>
      <c r="J160" s="1"/>
    </row>
    <row r="161" spans="1:10" ht="15">
      <c r="A161" s="79"/>
      <c r="B161" s="82" t="s">
        <v>141</v>
      </c>
      <c r="C161" s="82" t="s">
        <v>140</v>
      </c>
      <c r="D161" s="77" t="s">
        <v>131</v>
      </c>
      <c r="E161" s="142">
        <f aca="true" t="shared" si="17" ref="E161:J161">E47+E87+E95+E96+E101+E114+E115+E116+E117+E118+E122</f>
        <v>1963.3848704000002</v>
      </c>
      <c r="F161" s="1">
        <f t="shared" si="17"/>
        <v>0</v>
      </c>
      <c r="G161" s="142">
        <f t="shared" si="17"/>
        <v>1963.3848704000002</v>
      </c>
      <c r="H161" s="142">
        <f t="shared" si="17"/>
        <v>1103.0204196</v>
      </c>
      <c r="I161" s="1">
        <f t="shared" si="17"/>
        <v>0</v>
      </c>
      <c r="J161" s="142">
        <f t="shared" si="17"/>
        <v>1103.0204196</v>
      </c>
    </row>
    <row r="162" spans="1:10" ht="15">
      <c r="A162" s="79"/>
      <c r="B162" s="81" t="s">
        <v>139</v>
      </c>
      <c r="C162" s="81" t="s">
        <v>138</v>
      </c>
      <c r="D162" s="77" t="s">
        <v>131</v>
      </c>
      <c r="E162" s="142">
        <f aca="true" t="shared" si="18" ref="E162:J162">E68+E119+E121+E123+E124+E134+E135+E138+E139+E140</f>
        <v>359.39453834240004</v>
      </c>
      <c r="F162" s="1">
        <f t="shared" si="18"/>
        <v>0</v>
      </c>
      <c r="G162" s="142">
        <f t="shared" si="18"/>
        <v>359.39453834240004</v>
      </c>
      <c r="H162" s="142">
        <f t="shared" si="18"/>
        <v>368.9581883976</v>
      </c>
      <c r="I162" s="1">
        <f t="shared" si="18"/>
        <v>0</v>
      </c>
      <c r="J162" s="142">
        <f t="shared" si="18"/>
        <v>368.9581883976</v>
      </c>
    </row>
    <row r="163" spans="1:10" ht="22.5">
      <c r="A163" s="79"/>
      <c r="B163" s="80" t="s">
        <v>137</v>
      </c>
      <c r="C163" s="80" t="s">
        <v>136</v>
      </c>
      <c r="D163" s="77" t="s">
        <v>131</v>
      </c>
      <c r="E163" s="142">
        <f aca="true" t="shared" si="19" ref="E163:J163">E13+E40+E43+E76+E83</f>
        <v>5203.32049</v>
      </c>
      <c r="F163" s="1">
        <f t="shared" si="19"/>
        <v>0</v>
      </c>
      <c r="G163" s="142">
        <f t="shared" si="19"/>
        <v>5203.32049</v>
      </c>
      <c r="H163" s="142">
        <f t="shared" si="19"/>
        <v>3203.058292</v>
      </c>
      <c r="I163" s="1">
        <f t="shared" si="19"/>
        <v>0</v>
      </c>
      <c r="J163" s="142">
        <f t="shared" si="19"/>
        <v>3203.058292</v>
      </c>
    </row>
    <row r="164" spans="1:10" ht="15">
      <c r="A164" s="79"/>
      <c r="B164" s="78" t="s">
        <v>135</v>
      </c>
      <c r="C164" s="78" t="s">
        <v>134</v>
      </c>
      <c r="D164" s="77" t="s">
        <v>131</v>
      </c>
      <c r="E164" s="1">
        <f aca="true" t="shared" si="20" ref="E164:J164">E146</f>
        <v>129.73</v>
      </c>
      <c r="F164" s="1">
        <f t="shared" si="20"/>
        <v>0</v>
      </c>
      <c r="G164" s="1">
        <f t="shared" si="20"/>
        <v>129.73</v>
      </c>
      <c r="H164" s="142">
        <f t="shared" si="20"/>
        <v>79.94313098995899</v>
      </c>
      <c r="I164" s="1">
        <f t="shared" si="20"/>
        <v>0</v>
      </c>
      <c r="J164" s="142">
        <f t="shared" si="20"/>
        <v>79.94313098995899</v>
      </c>
    </row>
    <row r="165" spans="1:10" ht="15">
      <c r="A165" s="74"/>
      <c r="B165" s="76"/>
      <c r="C165" s="76"/>
      <c r="D165" s="75"/>
      <c r="E165" s="1"/>
      <c r="F165" s="1"/>
      <c r="G165" s="1"/>
      <c r="H165" s="1"/>
      <c r="I165" s="1"/>
      <c r="J165" s="1"/>
    </row>
    <row r="166" spans="1:10" ht="15">
      <c r="A166" s="74"/>
      <c r="B166" s="73" t="s">
        <v>133</v>
      </c>
      <c r="C166" s="72" t="s">
        <v>132</v>
      </c>
      <c r="D166" s="71" t="s">
        <v>131</v>
      </c>
      <c r="E166" s="142">
        <f aca="true" t="shared" si="21" ref="E166:J166">E161+E162+E163+E164</f>
        <v>7655.8298987424005</v>
      </c>
      <c r="F166" s="142">
        <f t="shared" si="21"/>
        <v>0</v>
      </c>
      <c r="G166" s="142">
        <f t="shared" si="21"/>
        <v>7655.8298987424005</v>
      </c>
      <c r="H166" s="142">
        <f t="shared" si="21"/>
        <v>4754.980030987559</v>
      </c>
      <c r="I166" s="1">
        <f t="shared" si="21"/>
        <v>0</v>
      </c>
      <c r="J166" s="142">
        <f t="shared" si="21"/>
        <v>4754.980030987559</v>
      </c>
    </row>
    <row r="167" spans="3:6" ht="15">
      <c r="C167" s="1"/>
      <c r="D167" s="61">
        <v>2016</v>
      </c>
      <c r="E167" s="61">
        <v>2017</v>
      </c>
      <c r="F167" s="10"/>
    </row>
    <row r="168" spans="3:6" ht="15.75">
      <c r="C168" s="69" t="s">
        <v>130</v>
      </c>
      <c r="D168" s="1">
        <f>D176+D174+D172-D169</f>
        <v>0</v>
      </c>
      <c r="E168" s="1">
        <f>E176+E174+E172-E169</f>
        <v>0</v>
      </c>
      <c r="F168" s="10"/>
    </row>
    <row r="169" spans="3:6" ht="15.75">
      <c r="C169" s="70" t="s">
        <v>129</v>
      </c>
      <c r="D169" s="1">
        <v>45.089</v>
      </c>
      <c r="E169" s="1">
        <v>26.905</v>
      </c>
      <c r="F169" s="10"/>
    </row>
    <row r="170" spans="3:6" ht="15.75">
      <c r="C170" s="70" t="s">
        <v>128</v>
      </c>
      <c r="D170" s="1">
        <v>41.199</v>
      </c>
      <c r="E170" s="1">
        <v>24.583</v>
      </c>
      <c r="F170" s="10"/>
    </row>
    <row r="171" spans="3:6" ht="15.75">
      <c r="C171" s="69" t="s">
        <v>127</v>
      </c>
      <c r="D171" s="68">
        <v>0</v>
      </c>
      <c r="E171" s="68">
        <v>0</v>
      </c>
      <c r="F171" s="10"/>
    </row>
    <row r="172" spans="3:6" ht="15.75">
      <c r="C172" s="70" t="s">
        <v>126</v>
      </c>
      <c r="D172" s="1">
        <v>0</v>
      </c>
      <c r="E172" s="1">
        <v>0</v>
      </c>
      <c r="F172" s="10"/>
    </row>
    <row r="173" spans="3:6" ht="15.75">
      <c r="C173" s="69" t="s">
        <v>124</v>
      </c>
      <c r="D173" s="68">
        <v>0</v>
      </c>
      <c r="E173" s="68">
        <v>0</v>
      </c>
      <c r="F173" s="10"/>
    </row>
    <row r="174" spans="3:6" ht="15.75">
      <c r="C174" s="70" t="s">
        <v>125</v>
      </c>
      <c r="D174" s="1">
        <v>3.89</v>
      </c>
      <c r="E174" s="1">
        <v>2.322</v>
      </c>
      <c r="F174" s="10"/>
    </row>
    <row r="175" spans="3:6" ht="15.75">
      <c r="C175" s="69" t="s">
        <v>124</v>
      </c>
      <c r="D175" s="68">
        <f>D174/(D168+D169)</f>
        <v>0.08627381401228681</v>
      </c>
      <c r="E175" s="68">
        <f>E174/(E168+E169)</f>
        <v>0.08630366102954841</v>
      </c>
      <c r="F175" s="10"/>
    </row>
    <row r="176" spans="3:6" ht="31.5">
      <c r="C176" s="67" t="s">
        <v>123</v>
      </c>
      <c r="D176" s="1">
        <v>41.199</v>
      </c>
      <c r="E176" s="1">
        <v>24.583</v>
      </c>
      <c r="F176" s="10"/>
    </row>
    <row r="177" spans="3:6" ht="29.25">
      <c r="C177" s="65" t="s">
        <v>122</v>
      </c>
      <c r="D177" s="1">
        <v>11.36</v>
      </c>
      <c r="E177" s="1">
        <v>0</v>
      </c>
      <c r="F177" s="10"/>
    </row>
    <row r="178" spans="3:6" ht="29.25">
      <c r="C178" s="65" t="s">
        <v>121</v>
      </c>
      <c r="D178" s="1">
        <v>29.839</v>
      </c>
      <c r="E178" s="1">
        <v>24.583</v>
      </c>
      <c r="F178" s="10"/>
    </row>
    <row r="179" spans="3:6" ht="43.5">
      <c r="C179" s="65" t="s">
        <v>120</v>
      </c>
      <c r="D179" s="1">
        <v>29.839</v>
      </c>
      <c r="E179" s="1">
        <v>24.583</v>
      </c>
      <c r="F179" s="10"/>
    </row>
    <row r="180" spans="3:6" ht="15">
      <c r="C180" s="65" t="s">
        <v>119</v>
      </c>
      <c r="D180" s="1"/>
      <c r="E180" s="1"/>
      <c r="F180" s="10"/>
    </row>
    <row r="181" spans="3:6" ht="15">
      <c r="C181" s="66" t="s">
        <v>118</v>
      </c>
      <c r="D181" s="1"/>
      <c r="E181" s="1"/>
      <c r="F181" s="10"/>
    </row>
    <row r="182" spans="3:6" ht="15">
      <c r="C182" s="66" t="s">
        <v>117</v>
      </c>
      <c r="D182" s="1"/>
      <c r="E182" s="1"/>
      <c r="F182" s="10"/>
    </row>
    <row r="183" spans="3:6" ht="15.75" thickBot="1">
      <c r="C183" s="146" t="s">
        <v>116</v>
      </c>
      <c r="D183" s="1">
        <v>29.839</v>
      </c>
      <c r="E183" s="1">
        <v>24.583</v>
      </c>
      <c r="F183" s="10"/>
    </row>
    <row r="184" spans="3:6" ht="15.75" thickBot="1">
      <c r="C184" s="147" t="s">
        <v>115</v>
      </c>
      <c r="D184" s="145"/>
      <c r="E184" s="1"/>
      <c r="F184" s="10"/>
    </row>
    <row r="185" spans="2:10" ht="15">
      <c r="B185" s="181" t="s">
        <v>401</v>
      </c>
      <c r="C185" s="182"/>
      <c r="D185" s="182"/>
      <c r="E185" s="182"/>
      <c r="F185" s="182"/>
      <c r="G185" s="182"/>
      <c r="H185" s="182"/>
      <c r="I185" s="182"/>
      <c r="J185" s="182"/>
    </row>
    <row r="186" spans="2:4" ht="15">
      <c r="B186" s="10"/>
      <c r="C186" s="10"/>
      <c r="D186" s="10"/>
    </row>
    <row r="187" spans="2:4" ht="15">
      <c r="B187" s="10"/>
      <c r="C187" s="10"/>
      <c r="D187" s="10"/>
    </row>
    <row r="188" spans="2:4" ht="15">
      <c r="B188" s="10"/>
      <c r="C188" s="10"/>
      <c r="D188" s="10"/>
    </row>
    <row r="189" spans="2:4" ht="15">
      <c r="B189" s="10"/>
      <c r="C189" s="10"/>
      <c r="D189" s="10"/>
    </row>
    <row r="190" spans="2:4" ht="15">
      <c r="B190" s="10"/>
      <c r="C190" s="10"/>
      <c r="D190" s="10"/>
    </row>
    <row r="191" spans="2:4" ht="15">
      <c r="B191" s="10"/>
      <c r="C191" s="10"/>
      <c r="D191" s="10"/>
    </row>
    <row r="192" spans="2:4" ht="15">
      <c r="B192" s="10"/>
      <c r="C192" s="10"/>
      <c r="D192" s="10"/>
    </row>
    <row r="193" spans="2:4" ht="15">
      <c r="B193" s="10"/>
      <c r="C193" s="10"/>
      <c r="D193" s="10"/>
    </row>
    <row r="194" spans="2:4" ht="15">
      <c r="B194" s="10"/>
      <c r="C194" s="10"/>
      <c r="D194" s="10"/>
    </row>
    <row r="195" spans="2:4" ht="15">
      <c r="B195" s="10"/>
      <c r="C195" s="10"/>
      <c r="D195" s="10"/>
    </row>
    <row r="196" spans="2:4" ht="15">
      <c r="B196" s="10"/>
      <c r="C196" s="10"/>
      <c r="D196" s="10"/>
    </row>
    <row r="197" spans="2:4" ht="15">
      <c r="B197" s="10"/>
      <c r="C197" s="10"/>
      <c r="D197" s="10"/>
    </row>
    <row r="198" spans="2:4" ht="15">
      <c r="B198" s="10"/>
      <c r="C198" s="10"/>
      <c r="D198" s="10"/>
    </row>
    <row r="199" spans="2:4" ht="15">
      <c r="B199" s="10"/>
      <c r="C199" s="10"/>
      <c r="D199" s="10"/>
    </row>
    <row r="200" spans="2:4" ht="15">
      <c r="B200" s="10"/>
      <c r="C200" s="10"/>
      <c r="D200" s="10"/>
    </row>
    <row r="201" spans="2:4" ht="15">
      <c r="B201" s="10"/>
      <c r="C201" s="10"/>
      <c r="D201" s="10"/>
    </row>
    <row r="202" spans="2:4" ht="15">
      <c r="B202" s="10"/>
      <c r="C202" s="10"/>
      <c r="D202" s="10"/>
    </row>
    <row r="203" spans="2:4" ht="15">
      <c r="B203" s="10"/>
      <c r="C203" s="10"/>
      <c r="D203" s="10"/>
    </row>
    <row r="204" spans="2:4" ht="15">
      <c r="B204" s="10"/>
      <c r="C204" s="10"/>
      <c r="D204" s="10"/>
    </row>
    <row r="205" spans="2:4" ht="15">
      <c r="B205" s="10"/>
      <c r="C205" s="10"/>
      <c r="D205" s="10"/>
    </row>
    <row r="206" spans="2:4" ht="15">
      <c r="B206" s="10"/>
      <c r="C206" s="10"/>
      <c r="D206" s="10"/>
    </row>
    <row r="207" spans="2:4" ht="15">
      <c r="B207" s="10"/>
      <c r="C207" s="10"/>
      <c r="D207" s="10"/>
    </row>
    <row r="208" spans="2:4" ht="15">
      <c r="B208" s="10"/>
      <c r="C208" s="10"/>
      <c r="D208" s="10"/>
    </row>
    <row r="209" spans="2:4" ht="15">
      <c r="B209" s="10"/>
      <c r="C209" s="10"/>
      <c r="D209" s="10"/>
    </row>
    <row r="210" spans="2:4" ht="15">
      <c r="B210" s="10"/>
      <c r="C210" s="10"/>
      <c r="D210" s="10"/>
    </row>
    <row r="211" spans="2:4" ht="15">
      <c r="B211" s="10"/>
      <c r="C211" s="10"/>
      <c r="D211" s="10"/>
    </row>
    <row r="212" spans="2:4" ht="15">
      <c r="B212" s="10"/>
      <c r="C212" s="10"/>
      <c r="D212" s="10"/>
    </row>
    <row r="213" spans="2:4" ht="15">
      <c r="B213" s="10"/>
      <c r="C213" s="10"/>
      <c r="D213" s="10"/>
    </row>
    <row r="214" spans="2:4" ht="15">
      <c r="B214" s="10"/>
      <c r="C214" s="10"/>
      <c r="D214" s="10"/>
    </row>
    <row r="215" spans="2:4" ht="15">
      <c r="B215" s="10"/>
      <c r="C215" s="10"/>
      <c r="D215" s="10"/>
    </row>
    <row r="216" spans="2:4" ht="15">
      <c r="B216" s="10"/>
      <c r="C216" s="10"/>
      <c r="D216" s="10"/>
    </row>
    <row r="217" spans="2:4" ht="15">
      <c r="B217" s="10"/>
      <c r="C217" s="10"/>
      <c r="D217" s="10"/>
    </row>
    <row r="218" spans="2:4" ht="15">
      <c r="B218" s="10"/>
      <c r="C218" s="10"/>
      <c r="D218" s="10"/>
    </row>
    <row r="219" spans="2:4" ht="15">
      <c r="B219" s="10"/>
      <c r="C219" s="10"/>
      <c r="D219" s="10"/>
    </row>
    <row r="220" spans="2:4" ht="15">
      <c r="B220" s="10"/>
      <c r="C220" s="10"/>
      <c r="D220" s="10"/>
    </row>
    <row r="221" spans="2:4" ht="15">
      <c r="B221" s="10"/>
      <c r="C221" s="10"/>
      <c r="D221" s="10"/>
    </row>
    <row r="222" spans="2:4" ht="15">
      <c r="B222" s="10"/>
      <c r="C222" s="10"/>
      <c r="D222" s="10"/>
    </row>
    <row r="223" spans="2:4" ht="15">
      <c r="B223" s="10"/>
      <c r="C223" s="10"/>
      <c r="D223" s="10"/>
    </row>
    <row r="224" spans="2:4" ht="15">
      <c r="B224" s="10"/>
      <c r="C224" s="10"/>
      <c r="D224" s="10"/>
    </row>
    <row r="225" spans="2:4" ht="15">
      <c r="B225" s="10"/>
      <c r="C225" s="10"/>
      <c r="D225" s="10"/>
    </row>
    <row r="226" spans="2:4" ht="15">
      <c r="B226" s="10"/>
      <c r="C226" s="10"/>
      <c r="D226" s="10"/>
    </row>
    <row r="227" spans="2:4" ht="15">
      <c r="B227" s="10"/>
      <c r="C227" s="10"/>
      <c r="D227" s="10"/>
    </row>
    <row r="228" spans="2:4" ht="15">
      <c r="B228" s="10"/>
      <c r="C228" s="10"/>
      <c r="D228" s="10"/>
    </row>
    <row r="229" spans="2:4" ht="15">
      <c r="B229" s="10"/>
      <c r="C229" s="10"/>
      <c r="D229" s="10"/>
    </row>
    <row r="230" spans="2:4" ht="15">
      <c r="B230" s="10"/>
      <c r="C230" s="10"/>
      <c r="D230" s="10"/>
    </row>
    <row r="231" spans="2:4" ht="15">
      <c r="B231" s="10"/>
      <c r="C231" s="10"/>
      <c r="D231" s="10"/>
    </row>
    <row r="232" spans="2:4" ht="15">
      <c r="B232" s="10"/>
      <c r="C232" s="10"/>
      <c r="D232" s="10"/>
    </row>
    <row r="233" spans="2:4" ht="15">
      <c r="B233" s="10"/>
      <c r="C233" s="10"/>
      <c r="D233" s="10"/>
    </row>
    <row r="234" spans="2:4" ht="15">
      <c r="B234" s="10"/>
      <c r="C234" s="10"/>
      <c r="D234" s="10"/>
    </row>
    <row r="235" spans="2:4" ht="15">
      <c r="B235" s="10"/>
      <c r="C235" s="10"/>
      <c r="D235" s="10"/>
    </row>
    <row r="236" spans="2:4" ht="15">
      <c r="B236" s="10"/>
      <c r="C236" s="10"/>
      <c r="D236" s="10"/>
    </row>
    <row r="237" spans="2:4" ht="15">
      <c r="B237" s="10"/>
      <c r="C237" s="10"/>
      <c r="D237" s="10"/>
    </row>
    <row r="238" spans="2:4" ht="15">
      <c r="B238" s="10"/>
      <c r="C238" s="10"/>
      <c r="D238" s="10"/>
    </row>
    <row r="239" spans="2:4" ht="15">
      <c r="B239" s="10"/>
      <c r="C239" s="10"/>
      <c r="D239" s="10"/>
    </row>
    <row r="240" spans="2:4" ht="15">
      <c r="B240" s="10"/>
      <c r="C240" s="10"/>
      <c r="D240" s="10"/>
    </row>
    <row r="241" spans="2:4" ht="15">
      <c r="B241" s="10"/>
      <c r="C241" s="10"/>
      <c r="D241" s="10"/>
    </row>
    <row r="242" spans="2:4" ht="15">
      <c r="B242" s="10"/>
      <c r="C242" s="10"/>
      <c r="D242" s="10"/>
    </row>
    <row r="243" spans="2:4" ht="15">
      <c r="B243" s="10"/>
      <c r="C243" s="10"/>
      <c r="D243" s="10"/>
    </row>
    <row r="244" spans="2:4" ht="15">
      <c r="B244" s="10"/>
      <c r="C244" s="10"/>
      <c r="D244" s="10"/>
    </row>
    <row r="245" spans="2:4" ht="15">
      <c r="B245" s="10"/>
      <c r="C245" s="10"/>
      <c r="D245" s="10"/>
    </row>
    <row r="246" spans="2:4" ht="15">
      <c r="B246" s="10"/>
      <c r="C246" s="10"/>
      <c r="D246" s="10"/>
    </row>
    <row r="247" spans="2:4" ht="15">
      <c r="B247" s="10"/>
      <c r="C247" s="10"/>
      <c r="D247" s="10"/>
    </row>
    <row r="248" spans="2:4" ht="15">
      <c r="B248" s="10"/>
      <c r="C248" s="10"/>
      <c r="D248" s="10"/>
    </row>
    <row r="249" spans="2:4" ht="15">
      <c r="B249" s="10"/>
      <c r="C249" s="10"/>
      <c r="D249" s="10"/>
    </row>
    <row r="250" spans="2:4" ht="15">
      <c r="B250" s="10"/>
      <c r="C250" s="10"/>
      <c r="D250" s="10"/>
    </row>
    <row r="251" spans="2:4" ht="15">
      <c r="B251" s="10"/>
      <c r="C251" s="10"/>
      <c r="D251" s="10"/>
    </row>
    <row r="252" spans="2:4" ht="15">
      <c r="B252" s="10"/>
      <c r="C252" s="10"/>
      <c r="D252" s="10"/>
    </row>
    <row r="253" spans="2:4" ht="15">
      <c r="B253" s="10"/>
      <c r="C253" s="10"/>
      <c r="D253" s="10"/>
    </row>
    <row r="254" spans="2:4" ht="15">
      <c r="B254" s="10"/>
      <c r="C254" s="10"/>
      <c r="D254" s="10"/>
    </row>
    <row r="255" spans="2:4" ht="15">
      <c r="B255" s="10"/>
      <c r="C255" s="10"/>
      <c r="D255" s="10"/>
    </row>
    <row r="256" spans="2:4" ht="15">
      <c r="B256" s="10"/>
      <c r="C256" s="10"/>
      <c r="D256" s="10"/>
    </row>
    <row r="257" spans="2:4" ht="15">
      <c r="B257" s="10"/>
      <c r="C257" s="10"/>
      <c r="D257" s="10"/>
    </row>
    <row r="258" spans="2:4" ht="15">
      <c r="B258" s="10"/>
      <c r="C258" s="10"/>
      <c r="D258" s="10"/>
    </row>
    <row r="259" spans="2:4" ht="15">
      <c r="B259" s="10"/>
      <c r="C259" s="10"/>
      <c r="D259" s="10"/>
    </row>
    <row r="260" spans="2:4" ht="15">
      <c r="B260" s="10"/>
      <c r="C260" s="10"/>
      <c r="D260" s="10"/>
    </row>
    <row r="261" spans="2:4" ht="15">
      <c r="B261" s="10"/>
      <c r="C261" s="10"/>
      <c r="D261" s="10"/>
    </row>
    <row r="262" spans="2:4" ht="15">
      <c r="B262" s="10"/>
      <c r="C262" s="10"/>
      <c r="D262" s="10"/>
    </row>
    <row r="263" spans="2:4" ht="15">
      <c r="B263" s="10"/>
      <c r="C263" s="10"/>
      <c r="D263" s="10"/>
    </row>
    <row r="264" spans="2:4" ht="15">
      <c r="B264" s="10"/>
      <c r="C264" s="10"/>
      <c r="D264" s="10"/>
    </row>
    <row r="265" spans="2:4" ht="15">
      <c r="B265" s="10"/>
      <c r="C265" s="10"/>
      <c r="D265" s="10"/>
    </row>
    <row r="266" spans="2:4" ht="15">
      <c r="B266" s="10"/>
      <c r="C266" s="10"/>
      <c r="D266" s="10"/>
    </row>
    <row r="267" spans="2:4" ht="15">
      <c r="B267" s="10"/>
      <c r="C267" s="10"/>
      <c r="D267" s="10"/>
    </row>
    <row r="268" spans="2:4" ht="15">
      <c r="B268" s="10"/>
      <c r="C268" s="10"/>
      <c r="D268" s="10"/>
    </row>
    <row r="269" spans="2:4" ht="15">
      <c r="B269" s="10"/>
      <c r="C269" s="10"/>
      <c r="D269" s="10"/>
    </row>
    <row r="270" spans="2:4" ht="15">
      <c r="B270" s="10"/>
      <c r="C270" s="10"/>
      <c r="D270" s="10"/>
    </row>
    <row r="271" spans="2:4" ht="15">
      <c r="B271" s="10"/>
      <c r="C271" s="10"/>
      <c r="D271" s="10"/>
    </row>
    <row r="272" spans="2:4" ht="15">
      <c r="B272" s="10"/>
      <c r="C272" s="10"/>
      <c r="D272" s="10"/>
    </row>
    <row r="273" spans="2:4" ht="15">
      <c r="B273" s="10"/>
      <c r="C273" s="10"/>
      <c r="D273" s="10"/>
    </row>
    <row r="274" spans="2:4" ht="15">
      <c r="B274" s="10"/>
      <c r="C274" s="10"/>
      <c r="D274" s="10"/>
    </row>
    <row r="275" spans="2:4" ht="15">
      <c r="B275" s="10"/>
      <c r="C275" s="10"/>
      <c r="D275" s="10"/>
    </row>
    <row r="276" spans="2:4" ht="15">
      <c r="B276" s="10"/>
      <c r="C276" s="10"/>
      <c r="D276" s="10"/>
    </row>
    <row r="277" spans="2:4" ht="15">
      <c r="B277" s="10"/>
      <c r="C277" s="10"/>
      <c r="D277" s="10"/>
    </row>
    <row r="278" spans="2:4" ht="15">
      <c r="B278" s="10"/>
      <c r="C278" s="10"/>
      <c r="D278" s="10"/>
    </row>
    <row r="279" spans="2:4" ht="15">
      <c r="B279" s="10"/>
      <c r="C279" s="10"/>
      <c r="D279" s="10"/>
    </row>
    <row r="280" spans="2:4" ht="15">
      <c r="B280" s="10"/>
      <c r="C280" s="10"/>
      <c r="D280" s="10"/>
    </row>
    <row r="281" spans="2:4" ht="15">
      <c r="B281" s="10"/>
      <c r="C281" s="10"/>
      <c r="D281" s="10"/>
    </row>
    <row r="282" spans="2:4" ht="15">
      <c r="B282" s="10"/>
      <c r="C282" s="10"/>
      <c r="D282" s="10"/>
    </row>
    <row r="283" spans="2:4" ht="15">
      <c r="B283" s="10"/>
      <c r="C283" s="10"/>
      <c r="D283" s="10"/>
    </row>
    <row r="284" spans="2:4" ht="15">
      <c r="B284" s="10"/>
      <c r="C284" s="10"/>
      <c r="D284" s="10"/>
    </row>
    <row r="285" spans="2:4" ht="15">
      <c r="B285" s="10"/>
      <c r="C285" s="10"/>
      <c r="D285" s="10"/>
    </row>
    <row r="286" spans="2:4" ht="15">
      <c r="B286" s="10"/>
      <c r="C286" s="10"/>
      <c r="D286" s="10"/>
    </row>
    <row r="287" spans="2:4" ht="15">
      <c r="B287" s="10"/>
      <c r="C287" s="10"/>
      <c r="D287" s="10"/>
    </row>
    <row r="288" spans="2:4" ht="15">
      <c r="B288" s="10"/>
      <c r="C288" s="10"/>
      <c r="D288" s="10"/>
    </row>
    <row r="289" spans="2:4" ht="15">
      <c r="B289" s="10"/>
      <c r="C289" s="10"/>
      <c r="D289" s="10"/>
    </row>
    <row r="290" spans="2:4" ht="15">
      <c r="B290" s="10"/>
      <c r="C290" s="10"/>
      <c r="D290" s="10"/>
    </row>
    <row r="291" spans="2:4" ht="15">
      <c r="B291" s="10"/>
      <c r="C291" s="10"/>
      <c r="D291" s="10"/>
    </row>
    <row r="292" spans="2:4" ht="15">
      <c r="B292" s="10"/>
      <c r="C292" s="10"/>
      <c r="D292" s="10"/>
    </row>
    <row r="293" spans="2:4" ht="15">
      <c r="B293" s="10"/>
      <c r="C293" s="10"/>
      <c r="D293" s="10"/>
    </row>
    <row r="294" spans="2:4" ht="15">
      <c r="B294" s="10"/>
      <c r="C294" s="10"/>
      <c r="D294" s="10"/>
    </row>
    <row r="295" spans="2:4" ht="15">
      <c r="B295" s="10"/>
      <c r="C295" s="10"/>
      <c r="D295" s="10"/>
    </row>
    <row r="296" spans="2:4" ht="15">
      <c r="B296" s="10"/>
      <c r="C296" s="10"/>
      <c r="D296" s="10"/>
    </row>
    <row r="297" spans="2:4" ht="15">
      <c r="B297" s="10"/>
      <c r="C297" s="10"/>
      <c r="D297" s="10"/>
    </row>
    <row r="298" spans="2:4" ht="15">
      <c r="B298" s="10"/>
      <c r="C298" s="10"/>
      <c r="D298" s="10"/>
    </row>
    <row r="299" spans="2:4" ht="15">
      <c r="B299" s="10"/>
      <c r="C299" s="10"/>
      <c r="D299" s="10"/>
    </row>
    <row r="300" spans="2:4" ht="15">
      <c r="B300" s="10"/>
      <c r="C300" s="10"/>
      <c r="D300" s="10"/>
    </row>
    <row r="301" spans="2:4" ht="15">
      <c r="B301" s="10"/>
      <c r="C301" s="10"/>
      <c r="D301" s="10"/>
    </row>
    <row r="302" spans="2:4" ht="15">
      <c r="B302" s="10"/>
      <c r="C302" s="10"/>
      <c r="D302" s="10"/>
    </row>
    <row r="303" spans="2:4" ht="15">
      <c r="B303" s="10"/>
      <c r="C303" s="10"/>
      <c r="D303" s="10"/>
    </row>
    <row r="304" spans="2:4" ht="15">
      <c r="B304" s="10"/>
      <c r="C304" s="10"/>
      <c r="D304" s="10"/>
    </row>
    <row r="305" spans="2:4" ht="15">
      <c r="B305" s="10"/>
      <c r="C305" s="10"/>
      <c r="D305" s="10"/>
    </row>
    <row r="306" spans="2:4" ht="15">
      <c r="B306" s="10"/>
      <c r="C306" s="10"/>
      <c r="D306" s="10"/>
    </row>
    <row r="307" spans="2:4" ht="15">
      <c r="B307" s="10"/>
      <c r="C307" s="10"/>
      <c r="D307" s="10"/>
    </row>
    <row r="308" spans="2:4" ht="15">
      <c r="B308" s="10"/>
      <c r="C308" s="10"/>
      <c r="D308" s="10"/>
    </row>
    <row r="309" spans="2:4" ht="15">
      <c r="B309" s="10"/>
      <c r="C309" s="10"/>
      <c r="D309" s="10"/>
    </row>
    <row r="310" spans="2:4" ht="15">
      <c r="B310" s="10"/>
      <c r="C310" s="10"/>
      <c r="D310" s="10"/>
    </row>
    <row r="311" spans="2:4" ht="15">
      <c r="B311" s="10"/>
      <c r="C311" s="10"/>
      <c r="D311" s="10"/>
    </row>
    <row r="312" spans="2:4" ht="15">
      <c r="B312" s="10"/>
      <c r="C312" s="10"/>
      <c r="D312" s="10"/>
    </row>
    <row r="313" spans="2:4" ht="15">
      <c r="B313" s="10"/>
      <c r="C313" s="10"/>
      <c r="D313" s="10"/>
    </row>
    <row r="314" spans="2:4" ht="15">
      <c r="B314" s="10"/>
      <c r="C314" s="10"/>
      <c r="D314" s="10"/>
    </row>
    <row r="315" spans="2:4" ht="15">
      <c r="B315" s="10"/>
      <c r="C315" s="10"/>
      <c r="D315" s="10"/>
    </row>
    <row r="316" spans="2:4" ht="15">
      <c r="B316" s="10"/>
      <c r="C316" s="10"/>
      <c r="D316" s="10"/>
    </row>
    <row r="317" spans="2:4" ht="15">
      <c r="B317" s="10"/>
      <c r="C317" s="10"/>
      <c r="D317" s="10"/>
    </row>
    <row r="318" spans="2:4" ht="15">
      <c r="B318" s="10"/>
      <c r="C318" s="10"/>
      <c r="D318" s="10"/>
    </row>
    <row r="319" spans="2:4" ht="15">
      <c r="B319" s="10"/>
      <c r="C319" s="10"/>
      <c r="D319" s="10"/>
    </row>
    <row r="320" spans="2:4" ht="15">
      <c r="B320" s="10"/>
      <c r="C320" s="10"/>
      <c r="D320" s="10"/>
    </row>
    <row r="321" spans="2:4" ht="15">
      <c r="B321" s="10"/>
      <c r="C321" s="10"/>
      <c r="D321" s="10"/>
    </row>
    <row r="322" spans="2:4" ht="15">
      <c r="B322" s="10"/>
      <c r="C322" s="10"/>
      <c r="D322" s="10"/>
    </row>
    <row r="323" spans="2:4" ht="15">
      <c r="B323" s="10"/>
      <c r="C323" s="10"/>
      <c r="D323" s="10"/>
    </row>
    <row r="324" spans="2:4" ht="15">
      <c r="B324" s="10"/>
      <c r="C324" s="10"/>
      <c r="D324" s="10"/>
    </row>
    <row r="325" spans="2:4" ht="15">
      <c r="B325" s="10"/>
      <c r="C325" s="10"/>
      <c r="D325" s="10"/>
    </row>
    <row r="326" spans="2:4" ht="15">
      <c r="B326" s="10"/>
      <c r="C326" s="10"/>
      <c r="D326" s="10"/>
    </row>
    <row r="327" spans="2:4" ht="15">
      <c r="B327" s="10"/>
      <c r="C327" s="10"/>
      <c r="D327" s="10"/>
    </row>
    <row r="328" spans="2:4" ht="15">
      <c r="B328" s="10"/>
      <c r="C328" s="10"/>
      <c r="D328" s="10"/>
    </row>
    <row r="329" spans="2:4" ht="15">
      <c r="B329" s="10"/>
      <c r="C329" s="10"/>
      <c r="D329" s="10"/>
    </row>
    <row r="330" spans="2:4" ht="15">
      <c r="B330" s="10"/>
      <c r="C330" s="10"/>
      <c r="D330" s="10"/>
    </row>
    <row r="331" spans="2:4" ht="15">
      <c r="B331" s="10"/>
      <c r="C331" s="10"/>
      <c r="D331" s="10"/>
    </row>
    <row r="332" spans="2:4" ht="15">
      <c r="B332" s="10"/>
      <c r="C332" s="10"/>
      <c r="D332" s="10"/>
    </row>
    <row r="333" spans="2:4" ht="15">
      <c r="B333" s="10"/>
      <c r="C333" s="10"/>
      <c r="D333" s="10"/>
    </row>
    <row r="334" spans="2:4" ht="15">
      <c r="B334" s="10"/>
      <c r="C334" s="10"/>
      <c r="D334" s="10"/>
    </row>
    <row r="335" spans="2:4" ht="15">
      <c r="B335" s="10"/>
      <c r="C335" s="10"/>
      <c r="D335" s="10"/>
    </row>
    <row r="336" spans="2:4" ht="15">
      <c r="B336" s="10"/>
      <c r="C336" s="10"/>
      <c r="D336" s="10"/>
    </row>
    <row r="337" spans="2:4" ht="15">
      <c r="B337" s="10"/>
      <c r="C337" s="10"/>
      <c r="D337" s="10"/>
    </row>
    <row r="338" spans="2:4" ht="15">
      <c r="B338" s="10"/>
      <c r="C338" s="10"/>
      <c r="D338" s="10"/>
    </row>
    <row r="339" spans="2:4" ht="15">
      <c r="B339" s="10"/>
      <c r="C339" s="10"/>
      <c r="D339" s="10"/>
    </row>
    <row r="340" spans="2:4" ht="15">
      <c r="B340" s="10"/>
      <c r="C340" s="10"/>
      <c r="D340" s="10"/>
    </row>
    <row r="341" spans="2:4" ht="15">
      <c r="B341" s="10"/>
      <c r="C341" s="10"/>
      <c r="D341" s="10"/>
    </row>
    <row r="342" spans="2:4" ht="15">
      <c r="B342" s="10"/>
      <c r="C342" s="10"/>
      <c r="D342" s="10"/>
    </row>
    <row r="343" spans="2:4" ht="15">
      <c r="B343" s="10"/>
      <c r="C343" s="10"/>
      <c r="D343" s="10"/>
    </row>
    <row r="344" spans="2:4" ht="15">
      <c r="B344" s="10"/>
      <c r="C344" s="10"/>
      <c r="D344" s="10"/>
    </row>
    <row r="345" spans="2:4" ht="15">
      <c r="B345" s="10"/>
      <c r="C345" s="10"/>
      <c r="D345" s="10"/>
    </row>
    <row r="346" spans="2:4" ht="15">
      <c r="B346" s="10"/>
      <c r="C346" s="10"/>
      <c r="D346" s="10"/>
    </row>
    <row r="347" spans="2:4" ht="15">
      <c r="B347" s="10"/>
      <c r="C347" s="10"/>
      <c r="D347" s="10"/>
    </row>
    <row r="348" spans="2:4" ht="15">
      <c r="B348" s="10"/>
      <c r="C348" s="10"/>
      <c r="D348" s="10"/>
    </row>
    <row r="349" spans="2:4" ht="15">
      <c r="B349" s="10"/>
      <c r="C349" s="10"/>
      <c r="D349" s="10"/>
    </row>
    <row r="350" spans="2:4" ht="15">
      <c r="B350" s="10"/>
      <c r="C350" s="10"/>
      <c r="D350" s="10"/>
    </row>
    <row r="351" spans="2:4" ht="15">
      <c r="B351" s="10"/>
      <c r="C351" s="10"/>
      <c r="D351" s="10"/>
    </row>
    <row r="352" spans="2:4" ht="15">
      <c r="B352" s="10"/>
      <c r="C352" s="10"/>
      <c r="D352" s="10"/>
    </row>
    <row r="353" spans="2:4" ht="15">
      <c r="B353" s="10"/>
      <c r="C353" s="10"/>
      <c r="D353" s="10"/>
    </row>
    <row r="354" spans="2:4" ht="15">
      <c r="B354" s="10"/>
      <c r="C354" s="10"/>
      <c r="D354" s="10"/>
    </row>
    <row r="355" spans="2:4" ht="15">
      <c r="B355" s="10"/>
      <c r="C355" s="10"/>
      <c r="D355" s="10"/>
    </row>
    <row r="356" spans="2:4" ht="15">
      <c r="B356" s="10"/>
      <c r="C356" s="10"/>
      <c r="D356" s="10"/>
    </row>
    <row r="357" spans="2:4" ht="15">
      <c r="B357" s="10"/>
      <c r="C357" s="10"/>
      <c r="D357" s="10"/>
    </row>
    <row r="358" spans="2:4" ht="15">
      <c r="B358" s="10"/>
      <c r="C358" s="10"/>
      <c r="D358" s="10"/>
    </row>
    <row r="359" spans="2:5" ht="15">
      <c r="B359" s="10"/>
      <c r="C359" s="10"/>
      <c r="D359" s="10"/>
      <c r="E359" s="10"/>
    </row>
    <row r="360" spans="2:4" ht="15">
      <c r="B360" s="10"/>
      <c r="C360" s="10"/>
      <c r="D360" s="10"/>
    </row>
    <row r="361" spans="2:4" ht="15">
      <c r="B361" s="10"/>
      <c r="C361" s="10"/>
      <c r="D361" s="10"/>
    </row>
    <row r="362" spans="2:4" ht="15">
      <c r="B362" s="10"/>
      <c r="C362" s="10"/>
      <c r="D362" s="10"/>
    </row>
    <row r="363" ht="15">
      <c r="D363" s="10"/>
    </row>
    <row r="364" ht="15">
      <c r="D364" s="10"/>
    </row>
    <row r="365" ht="15">
      <c r="D365" s="10"/>
    </row>
    <row r="366" ht="15">
      <c r="D366" s="10"/>
    </row>
    <row r="367" ht="15">
      <c r="D367" s="10"/>
    </row>
    <row r="368" ht="15">
      <c r="D368" s="10"/>
    </row>
    <row r="369" ht="15">
      <c r="D369" s="10"/>
    </row>
    <row r="370" ht="15">
      <c r="D370" s="10"/>
    </row>
  </sheetData>
  <sheetProtection/>
  <mergeCells count="6">
    <mergeCell ref="A2:D2"/>
    <mergeCell ref="F11:G11"/>
    <mergeCell ref="E11:E12"/>
    <mergeCell ref="H11:H12"/>
    <mergeCell ref="I11:J11"/>
    <mergeCell ref="B185:J18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M6" sqref="M6"/>
    </sheetView>
  </sheetViews>
  <sheetFormatPr defaultColWidth="9.140625" defaultRowHeight="15"/>
  <cols>
    <col min="3" max="3" width="20.421875" style="0" customWidth="1"/>
  </cols>
  <sheetData>
    <row r="2" spans="1:4" ht="15" customHeight="1">
      <c r="A2" s="183" t="s">
        <v>396</v>
      </c>
      <c r="B2" s="183"/>
      <c r="C2" s="183"/>
      <c r="D2" s="141">
        <v>2017</v>
      </c>
    </row>
    <row r="3" spans="1:4" ht="15">
      <c r="A3" s="140" t="s">
        <v>395</v>
      </c>
      <c r="B3" s="136"/>
      <c r="C3" s="140"/>
      <c r="D3" s="139">
        <v>1.058</v>
      </c>
    </row>
    <row r="4" spans="1:4" ht="15">
      <c r="A4" s="140" t="s">
        <v>394</v>
      </c>
      <c r="B4" s="136"/>
      <c r="C4" s="140"/>
      <c r="D4" s="139">
        <v>1.047</v>
      </c>
    </row>
    <row r="5" spans="1:4" ht="15">
      <c r="A5" s="137" t="s">
        <v>393</v>
      </c>
      <c r="B5" s="136"/>
      <c r="C5" s="138"/>
      <c r="D5" s="134">
        <v>1.043</v>
      </c>
    </row>
    <row r="6" spans="1:4" ht="15">
      <c r="A6" s="137" t="s">
        <v>392</v>
      </c>
      <c r="B6" s="136"/>
      <c r="C6" s="135"/>
      <c r="D6" s="134">
        <v>1.072</v>
      </c>
    </row>
    <row r="7" spans="1:4" ht="15">
      <c r="A7" s="137" t="s">
        <v>391</v>
      </c>
      <c r="B7" s="136"/>
      <c r="C7" s="135"/>
      <c r="D7" s="134">
        <v>1.033</v>
      </c>
    </row>
    <row r="8" spans="1:4" ht="15">
      <c r="A8" s="137" t="s">
        <v>390</v>
      </c>
      <c r="B8" s="136"/>
      <c r="C8" s="135"/>
      <c r="D8" s="134">
        <v>1.03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13">
      <selection activeCell="K33" sqref="K33"/>
    </sheetView>
  </sheetViews>
  <sheetFormatPr defaultColWidth="9.140625" defaultRowHeight="15"/>
  <cols>
    <col min="2" max="8" width="0" style="0" hidden="1" customWidth="1"/>
    <col min="9" max="9" width="9.57421875" style="0" hidden="1" customWidth="1"/>
    <col min="10" max="10" width="10.57421875" style="0" hidden="1" customWidth="1"/>
    <col min="11" max="11" width="15.421875" style="0" customWidth="1"/>
    <col min="12" max="12" width="11.28125" style="0" hidden="1" customWidth="1"/>
    <col min="13" max="13" width="15.7109375" style="0" customWidth="1"/>
    <col min="14" max="14" width="12.7109375" style="0" customWidth="1"/>
    <col min="15" max="15" width="12.140625" style="0" customWidth="1"/>
    <col min="16" max="16" width="12.00390625" style="0" customWidth="1"/>
    <col min="17" max="17" width="12.8515625" style="0" customWidth="1"/>
    <col min="18" max="18" width="12.421875" style="0" customWidth="1"/>
    <col min="19" max="19" width="12.8515625" style="0" customWidth="1"/>
    <col min="20" max="20" width="11.421875" style="0" customWidth="1"/>
  </cols>
  <sheetData>
    <row r="2" spans="11:19" ht="33.75" customHeight="1">
      <c r="K2" s="184" t="s">
        <v>55</v>
      </c>
      <c r="L2" s="184"/>
      <c r="M2" s="184"/>
      <c r="N2" s="184"/>
      <c r="O2" s="184"/>
      <c r="P2" s="184"/>
      <c r="Q2" s="184"/>
      <c r="R2" s="184"/>
      <c r="S2" s="184"/>
    </row>
    <row r="3" spans="11:19" ht="15">
      <c r="K3" s="48"/>
      <c r="L3" s="48"/>
      <c r="M3" s="48"/>
      <c r="N3" s="48"/>
      <c r="O3" s="48"/>
      <c r="P3" s="48"/>
      <c r="Q3" s="48"/>
      <c r="R3" s="48"/>
      <c r="S3" s="48"/>
    </row>
    <row r="4" spans="1:15" ht="15">
      <c r="A4" s="185"/>
      <c r="B4" s="185"/>
      <c r="C4" s="185"/>
      <c r="D4" s="185"/>
      <c r="E4" s="185"/>
      <c r="F4" s="185"/>
      <c r="G4" s="185"/>
      <c r="H4" s="186"/>
      <c r="I4" s="186"/>
      <c r="J4" s="186"/>
      <c r="K4" s="186"/>
      <c r="L4" s="186"/>
      <c r="M4" s="47"/>
      <c r="N4" s="46"/>
      <c r="O4" s="46"/>
    </row>
    <row r="5" spans="1:20" ht="32.25" customHeight="1">
      <c r="A5" s="187" t="s">
        <v>54</v>
      </c>
      <c r="B5" s="187" t="s">
        <v>53</v>
      </c>
      <c r="C5" s="187" t="s">
        <v>52</v>
      </c>
      <c r="D5" s="187" t="s">
        <v>51</v>
      </c>
      <c r="E5" s="187" t="s">
        <v>50</v>
      </c>
      <c r="F5" s="187" t="s">
        <v>49</v>
      </c>
      <c r="G5" s="187"/>
      <c r="H5" s="187"/>
      <c r="I5" s="188" t="s">
        <v>48</v>
      </c>
      <c r="J5" s="189"/>
      <c r="K5" s="187" t="s">
        <v>47</v>
      </c>
      <c r="L5" s="187"/>
      <c r="M5" s="187"/>
      <c r="N5" s="194" t="s">
        <v>46</v>
      </c>
      <c r="O5" s="196" t="s">
        <v>44</v>
      </c>
      <c r="P5" s="197"/>
      <c r="Q5" s="188" t="s">
        <v>45</v>
      </c>
      <c r="R5" s="196" t="s">
        <v>44</v>
      </c>
      <c r="S5" s="197"/>
      <c r="T5" s="199" t="s">
        <v>43</v>
      </c>
    </row>
    <row r="6" spans="1:20" ht="178.5">
      <c r="A6" s="187"/>
      <c r="B6" s="187"/>
      <c r="C6" s="187"/>
      <c r="D6" s="187"/>
      <c r="E6" s="187"/>
      <c r="F6" s="45" t="s">
        <v>42</v>
      </c>
      <c r="G6" s="45" t="s">
        <v>41</v>
      </c>
      <c r="H6" s="45" t="s">
        <v>39</v>
      </c>
      <c r="I6" s="45" t="s">
        <v>41</v>
      </c>
      <c r="J6" s="45" t="s">
        <v>39</v>
      </c>
      <c r="K6" s="45" t="s">
        <v>40</v>
      </c>
      <c r="L6" s="45" t="s">
        <v>39</v>
      </c>
      <c r="M6" s="45" t="s">
        <v>38</v>
      </c>
      <c r="N6" s="195"/>
      <c r="O6" s="40" t="s">
        <v>37</v>
      </c>
      <c r="P6" s="40" t="s">
        <v>36</v>
      </c>
      <c r="Q6" s="198"/>
      <c r="R6" s="40" t="s">
        <v>35</v>
      </c>
      <c r="S6" s="40" t="s">
        <v>34</v>
      </c>
      <c r="T6" s="199"/>
    </row>
    <row r="7" spans="1:20" ht="15">
      <c r="A7" s="45">
        <v>1</v>
      </c>
      <c r="B7" s="45"/>
      <c r="C7" s="45"/>
      <c r="D7" s="45"/>
      <c r="E7" s="45"/>
      <c r="F7" s="45"/>
      <c r="G7" s="45"/>
      <c r="H7" s="45"/>
      <c r="I7" s="45"/>
      <c r="J7" s="45"/>
      <c r="K7" s="45">
        <v>2</v>
      </c>
      <c r="L7" s="45"/>
      <c r="M7" s="45">
        <v>3</v>
      </c>
      <c r="N7" s="40">
        <v>4</v>
      </c>
      <c r="O7" s="40">
        <v>5</v>
      </c>
      <c r="P7" s="40">
        <v>6</v>
      </c>
      <c r="Q7" s="3">
        <v>7</v>
      </c>
      <c r="R7" s="3">
        <v>8</v>
      </c>
      <c r="S7" s="3">
        <v>9</v>
      </c>
      <c r="T7" s="3">
        <v>10</v>
      </c>
    </row>
    <row r="8" spans="1:20" ht="15" customHeight="1">
      <c r="A8" s="190" t="s">
        <v>33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  <c r="O8" s="192"/>
      <c r="P8" s="192"/>
      <c r="Q8" s="192"/>
      <c r="R8" s="192"/>
      <c r="S8" s="192"/>
      <c r="T8" s="193"/>
    </row>
    <row r="9" spans="1:20" ht="15">
      <c r="A9" s="31">
        <v>1</v>
      </c>
      <c r="B9" s="31">
        <v>82557.38</v>
      </c>
      <c r="C9" s="31">
        <v>2489.75</v>
      </c>
      <c r="D9" s="31">
        <f>146.6*(B9+C9)</f>
        <v>12467909.258</v>
      </c>
      <c r="E9" s="28">
        <f>D9*0.4644*24*210/1000000</f>
        <v>29182.08917945261</v>
      </c>
      <c r="F9" s="28">
        <f>E9/(B9*7)</f>
        <v>0.05049663498016706</v>
      </c>
      <c r="G9" s="30">
        <f>F9*7</f>
        <v>0.3534764448611694</v>
      </c>
      <c r="H9" s="29">
        <f>G9*B9</f>
        <v>29182.08917945261</v>
      </c>
      <c r="I9" s="28">
        <f>E9/(B9+C9)</f>
        <v>0.3431284416</v>
      </c>
      <c r="J9" s="28">
        <f>I9*B9</f>
        <v>28327.78514197901</v>
      </c>
      <c r="K9" s="28">
        <v>0.34</v>
      </c>
      <c r="L9" s="28">
        <f>K9*B9</f>
        <v>28069.509200000004</v>
      </c>
      <c r="M9" s="28">
        <f>K9/7</f>
        <v>0.04857142857142858</v>
      </c>
      <c r="N9" s="34"/>
      <c r="O9" s="26"/>
      <c r="P9" s="1"/>
      <c r="Q9" s="1"/>
      <c r="R9" s="1"/>
      <c r="S9" s="1"/>
      <c r="T9" s="1"/>
    </row>
    <row r="10" spans="1:20" ht="15">
      <c r="A10" s="31">
        <v>2</v>
      </c>
      <c r="B10" s="31">
        <v>1226388.04</v>
      </c>
      <c r="C10" s="31">
        <v>126217.9</v>
      </c>
      <c r="D10" s="31">
        <f>136.2*(B10+C10)</f>
        <v>184224929.02799997</v>
      </c>
      <c r="E10" s="28">
        <f>D10*0.4644*24*210/1000000</f>
        <v>431192.44748464</v>
      </c>
      <c r="F10" s="28">
        <f>E10/(B10*7)</f>
        <v>0.05022792057661805</v>
      </c>
      <c r="G10" s="30">
        <f>F10*7</f>
        <v>0.3515954440363263</v>
      </c>
      <c r="H10" s="29">
        <f>G10*B10</f>
        <v>431192.44748463994</v>
      </c>
      <c r="I10" s="28">
        <f>E10/(B10+C10)</f>
        <v>0.31878645119999993</v>
      </c>
      <c r="J10" s="28">
        <f>I10*B10</f>
        <v>390955.89106572355</v>
      </c>
      <c r="K10" s="28">
        <v>0.3212</v>
      </c>
      <c r="L10" s="28">
        <f>K10*B10</f>
        <v>393915.83844799997</v>
      </c>
      <c r="M10" s="28">
        <f>K10/7</f>
        <v>0.04588571428571429</v>
      </c>
      <c r="N10" s="34"/>
      <c r="O10" s="26"/>
      <c r="P10" s="1"/>
      <c r="Q10" s="1"/>
      <c r="R10" s="1"/>
      <c r="S10" s="1"/>
      <c r="T10" s="1"/>
    </row>
    <row r="11" spans="1:20" ht="15">
      <c r="A11" s="44">
        <v>41732</v>
      </c>
      <c r="B11" s="31">
        <f>405430.41+724987.3</f>
        <v>1130417.71</v>
      </c>
      <c r="C11" s="31">
        <f>49267.26+83393.94</f>
        <v>132661.2</v>
      </c>
      <c r="D11" s="31">
        <f>84.2*(B11+C11)</f>
        <v>106351244.222</v>
      </c>
      <c r="E11" s="28">
        <f>D11*0.4644*24*210/1000000</f>
        <v>248923.1697961519</v>
      </c>
      <c r="F11" s="28">
        <f>E11/(B11*7)</f>
        <v>0.031457798753012904</v>
      </c>
      <c r="G11" s="30">
        <f>F11*7</f>
        <v>0.22020459127109032</v>
      </c>
      <c r="H11" s="29">
        <f>G11*B11</f>
        <v>248923.1697961519</v>
      </c>
      <c r="I11" s="28">
        <f>E11/(B11+C11)</f>
        <v>0.19707649920000003</v>
      </c>
      <c r="J11" s="28">
        <f>I11*B11</f>
        <v>222778.76492048087</v>
      </c>
      <c r="K11" s="28">
        <v>0.1958</v>
      </c>
      <c r="L11" s="28">
        <f>K11*B11</f>
        <v>221335.787618</v>
      </c>
      <c r="M11" s="28">
        <f>K11/7</f>
        <v>0.02797142857142857</v>
      </c>
      <c r="N11" s="34"/>
      <c r="O11" s="26"/>
      <c r="P11" s="1"/>
      <c r="Q11" s="1"/>
      <c r="R11" s="1"/>
      <c r="S11" s="1"/>
      <c r="T11" s="1"/>
    </row>
    <row r="12" spans="1:20" ht="15">
      <c r="A12" s="43">
        <v>41887</v>
      </c>
      <c r="B12" s="31">
        <f>7184251.21+152508.39+107453.1+2133510.1</f>
        <v>9577722.799999999</v>
      </c>
      <c r="C12" s="31">
        <f>834171.14+16074.7+5922.5+326141.52</f>
        <v>1182309.8599999999</v>
      </c>
      <c r="D12" s="31">
        <f>70.2*(B12+C12)</f>
        <v>755354292.7319999</v>
      </c>
      <c r="E12" s="28">
        <f>D12*0.4644*24*210/1000000</f>
        <v>1767964.1290654934</v>
      </c>
      <c r="F12" s="28">
        <f>E12/(B12*7)</f>
        <v>0.026370183124553716</v>
      </c>
      <c r="G12" s="30">
        <f>F12*7</f>
        <v>0.184591281871876</v>
      </c>
      <c r="H12" s="29">
        <f>G12*B12</f>
        <v>1767964.1290654934</v>
      </c>
      <c r="I12" s="28">
        <f>E12/(B12+C12)</f>
        <v>0.1643084352</v>
      </c>
      <c r="J12" s="28">
        <f>I12*B12</f>
        <v>1573700.6460473624</v>
      </c>
      <c r="K12" s="28">
        <v>0.1652</v>
      </c>
      <c r="L12" s="28">
        <f>K12*B12</f>
        <v>1582239.80656</v>
      </c>
      <c r="M12" s="28">
        <f>K12/7</f>
        <v>0.023600000000000003</v>
      </c>
      <c r="N12" s="34"/>
      <c r="O12" s="26"/>
      <c r="P12" s="1"/>
      <c r="Q12" s="1"/>
      <c r="R12" s="1"/>
      <c r="S12" s="1"/>
      <c r="T12" s="1"/>
    </row>
    <row r="13" spans="1:20" ht="15">
      <c r="A13" s="35">
        <v>10</v>
      </c>
      <c r="B13" s="31"/>
      <c r="C13" s="31"/>
      <c r="D13" s="31"/>
      <c r="E13" s="28"/>
      <c r="F13" s="28"/>
      <c r="G13" s="30"/>
      <c r="H13" s="29"/>
      <c r="I13" s="28"/>
      <c r="J13" s="28"/>
      <c r="K13" s="28">
        <v>0.1715</v>
      </c>
      <c r="L13" s="28"/>
      <c r="M13" s="28">
        <f>K13/7</f>
        <v>0.0245</v>
      </c>
      <c r="N13" s="34"/>
      <c r="O13" s="26"/>
      <c r="P13" s="1"/>
      <c r="Q13" s="1"/>
      <c r="R13" s="1"/>
      <c r="S13" s="1"/>
      <c r="T13" s="1"/>
    </row>
    <row r="14" spans="1:20" ht="15">
      <c r="A14" s="35">
        <v>11</v>
      </c>
      <c r="B14" s="31"/>
      <c r="C14" s="31"/>
      <c r="D14" s="31"/>
      <c r="E14" s="28"/>
      <c r="F14" s="28"/>
      <c r="G14" s="30"/>
      <c r="H14" s="29"/>
      <c r="I14" s="28"/>
      <c r="J14" s="28"/>
      <c r="K14" s="28"/>
      <c r="L14" s="28"/>
      <c r="M14" s="28"/>
      <c r="N14" s="34"/>
      <c r="O14" s="26"/>
      <c r="P14" s="1"/>
      <c r="Q14" s="1"/>
      <c r="R14" s="1"/>
      <c r="S14" s="1"/>
      <c r="T14" s="1"/>
    </row>
    <row r="15" spans="1:20" ht="16.5" customHeight="1">
      <c r="A15" s="35">
        <v>12</v>
      </c>
      <c r="B15" s="31">
        <f>69199.8+142830.8</f>
        <v>212030.59999999998</v>
      </c>
      <c r="C15" s="31">
        <f>13358.9+31311</f>
        <v>44669.9</v>
      </c>
      <c r="D15" s="31">
        <f>67.2*(B15+C15)</f>
        <v>17250273.599999998</v>
      </c>
      <c r="E15" s="28">
        <f>D15*0.4644*24*210/1000000</f>
        <v>40375.57638159359</v>
      </c>
      <c r="F15" s="28">
        <f>E15/(B15*7)</f>
        <v>0.027203335193527727</v>
      </c>
      <c r="G15" s="30">
        <f>F15*7</f>
        <v>0.1904233463546941</v>
      </c>
      <c r="H15" s="29">
        <f>G15*B15</f>
        <v>40375.5763815936</v>
      </c>
      <c r="I15" s="28">
        <f>E15/(B15+C15)</f>
        <v>0.1572867072</v>
      </c>
      <c r="J15" s="28">
        <f>I15*B15</f>
        <v>33349.59489964032</v>
      </c>
      <c r="K15" s="28">
        <v>0.1705</v>
      </c>
      <c r="L15" s="28">
        <f>K15*B15</f>
        <v>36151.2173</v>
      </c>
      <c r="M15" s="28">
        <f>K15/7</f>
        <v>0.02435714285714286</v>
      </c>
      <c r="N15" s="34"/>
      <c r="O15" s="26"/>
      <c r="P15" s="1"/>
      <c r="Q15" s="1"/>
      <c r="R15" s="1"/>
      <c r="S15" s="1"/>
      <c r="T15" s="1"/>
    </row>
    <row r="16" spans="1:20" ht="15">
      <c r="A16" s="31">
        <v>13</v>
      </c>
      <c r="B16" s="31">
        <v>8040.4</v>
      </c>
      <c r="C16" s="31">
        <v>1631.2</v>
      </c>
      <c r="D16" s="31">
        <f>68.4*(B16+C16)</f>
        <v>661537.4400000001</v>
      </c>
      <c r="E16" s="28">
        <f>D16*0.4644*24*210/1000000</f>
        <v>1548.3786551654398</v>
      </c>
      <c r="F16" s="28">
        <f>E16/(B16*7)</f>
        <v>0.0275106898584548</v>
      </c>
      <c r="G16" s="30">
        <f>F16*7</f>
        <v>0.1925748290091836</v>
      </c>
      <c r="H16" s="29">
        <f>G16*B16</f>
        <v>1548.3786551654398</v>
      </c>
      <c r="I16" s="28">
        <f>E16/(B16+C16)</f>
        <v>0.16009539839999998</v>
      </c>
      <c r="J16" s="28">
        <f>I16*B16</f>
        <v>1287.2310412953598</v>
      </c>
      <c r="K16" s="28"/>
      <c r="L16" s="28"/>
      <c r="M16" s="28"/>
      <c r="N16" s="34"/>
      <c r="O16" s="26"/>
      <c r="P16" s="1"/>
      <c r="Q16" s="1"/>
      <c r="R16" s="1"/>
      <c r="S16" s="1"/>
      <c r="T16" s="1"/>
    </row>
    <row r="17" spans="1:20" ht="15">
      <c r="A17" s="31">
        <v>14</v>
      </c>
      <c r="B17" s="31">
        <v>12904.1</v>
      </c>
      <c r="C17" s="31">
        <v>2754.4</v>
      </c>
      <c r="D17" s="31">
        <f>69.8*(B17+C17)</f>
        <v>1092963.3</v>
      </c>
      <c r="E17" s="28">
        <f>D17*0.4644*24*210/1000000</f>
        <v>2558.1636688608</v>
      </c>
      <c r="F17" s="28">
        <f>E17/(B17*7)</f>
        <v>0.028320607612650244</v>
      </c>
      <c r="G17" s="30">
        <f>F17*7</f>
        <v>0.19824425328855172</v>
      </c>
      <c r="H17" s="29">
        <f>G17*B17</f>
        <v>2558.1636688608005</v>
      </c>
      <c r="I17" s="28">
        <f>E17/(B17+C17)</f>
        <v>0.1633722048</v>
      </c>
      <c r="J17" s="28">
        <f>I17*B17</f>
        <v>2108.1712679596803</v>
      </c>
      <c r="K17" s="28">
        <v>0.1808</v>
      </c>
      <c r="L17" s="28">
        <f>K17*B17</f>
        <v>2333.06128</v>
      </c>
      <c r="M17" s="28">
        <f>K17/7</f>
        <v>0.025828571428571426</v>
      </c>
      <c r="N17" s="34"/>
      <c r="O17" s="26"/>
      <c r="P17" s="1"/>
      <c r="Q17" s="1"/>
      <c r="R17" s="1"/>
      <c r="S17" s="1"/>
      <c r="T17" s="1"/>
    </row>
    <row r="18" spans="1:20" ht="15">
      <c r="A18" s="31">
        <v>15</v>
      </c>
      <c r="B18" s="31"/>
      <c r="C18" s="31"/>
      <c r="D18" s="31"/>
      <c r="E18" s="28"/>
      <c r="F18" s="28"/>
      <c r="G18" s="30"/>
      <c r="H18" s="29"/>
      <c r="I18" s="28"/>
      <c r="J18" s="28"/>
      <c r="K18" s="28"/>
      <c r="L18" s="28"/>
      <c r="M18" s="28"/>
      <c r="N18" s="27"/>
      <c r="O18" s="26"/>
      <c r="P18" s="1"/>
      <c r="Q18" s="1"/>
      <c r="R18" s="1"/>
      <c r="S18" s="1"/>
      <c r="T18" s="1"/>
    </row>
    <row r="19" spans="1:20" ht="15">
      <c r="A19" s="31" t="s">
        <v>32</v>
      </c>
      <c r="B19" s="31"/>
      <c r="C19" s="31"/>
      <c r="D19" s="31"/>
      <c r="E19" s="28"/>
      <c r="F19" s="28"/>
      <c r="G19" s="30"/>
      <c r="H19" s="29"/>
      <c r="I19" s="28"/>
      <c r="J19" s="28"/>
      <c r="K19" s="28"/>
      <c r="L19" s="28"/>
      <c r="M19" s="28"/>
      <c r="N19" s="27"/>
      <c r="O19" s="26"/>
      <c r="P19" s="1"/>
      <c r="Q19" s="1"/>
      <c r="R19" s="1"/>
      <c r="S19" s="1"/>
      <c r="T19" s="1"/>
    </row>
    <row r="20" spans="1:20" ht="15">
      <c r="A20" s="190" t="s">
        <v>31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92"/>
      <c r="P20" s="192"/>
      <c r="Q20" s="192"/>
      <c r="R20" s="192"/>
      <c r="S20" s="192"/>
      <c r="T20" s="193"/>
    </row>
    <row r="21" spans="1:20" ht="15">
      <c r="A21" s="42">
        <v>1</v>
      </c>
      <c r="B21" s="41"/>
      <c r="C21" s="41"/>
      <c r="D21" s="41"/>
      <c r="E21" s="41"/>
      <c r="F21" s="41"/>
      <c r="G21" s="41"/>
      <c r="H21" s="41"/>
      <c r="I21" s="41"/>
      <c r="J21" s="41"/>
      <c r="K21" s="40">
        <v>0.1117</v>
      </c>
      <c r="L21" s="39"/>
      <c r="M21" s="38">
        <f aca="true" t="shared" si="0" ref="M21:M30">K21/7</f>
        <v>0.015957142857142857</v>
      </c>
      <c r="N21" s="37"/>
      <c r="O21" s="37"/>
      <c r="P21" s="37"/>
      <c r="Q21" s="37"/>
      <c r="R21" s="37"/>
      <c r="S21" s="37"/>
      <c r="T21" s="37"/>
    </row>
    <row r="22" spans="1:20" ht="15">
      <c r="A22" s="35">
        <v>2</v>
      </c>
      <c r="B22" s="31">
        <f>1816.2+6397.8</f>
        <v>8214</v>
      </c>
      <c r="C22" s="31">
        <f>336.5+996.3</f>
        <v>1332.8</v>
      </c>
      <c r="D22" s="31">
        <f>45*(B22+C22)</f>
        <v>429605.99999999994</v>
      </c>
      <c r="E22" s="28">
        <f aca="true" t="shared" si="1" ref="E22:E27">D22*0.4644*24*210/1000000</f>
        <v>1005.5254930559998</v>
      </c>
      <c r="F22" s="28">
        <f aca="true" t="shared" si="2" ref="F22:F27">E22/(B22*7)</f>
        <v>0.0174880081577794</v>
      </c>
      <c r="G22" s="30">
        <f aca="true" t="shared" si="3" ref="G22:G27">F22*7</f>
        <v>0.1224160571044558</v>
      </c>
      <c r="H22" s="29">
        <f aca="true" t="shared" si="4" ref="H22:H27">G22*B22</f>
        <v>1005.525493056</v>
      </c>
      <c r="I22" s="28">
        <f aca="true" t="shared" si="5" ref="I22:I27">E22/(B22+C22)</f>
        <v>0.10532591999999999</v>
      </c>
      <c r="J22" s="28">
        <f aca="true" t="shared" si="6" ref="J22:J27">I22*B22</f>
        <v>865.1471068799999</v>
      </c>
      <c r="K22" s="28">
        <v>0.0983</v>
      </c>
      <c r="L22" s="28">
        <f aca="true" t="shared" si="7" ref="L22:L27">K22*B22</f>
        <v>807.4362</v>
      </c>
      <c r="M22" s="28">
        <f t="shared" si="0"/>
        <v>0.014042857142857143</v>
      </c>
      <c r="N22" s="34"/>
      <c r="O22" s="26"/>
      <c r="P22" s="1"/>
      <c r="Q22" s="1"/>
      <c r="R22" s="1"/>
      <c r="S22" s="1"/>
      <c r="T22" s="1"/>
    </row>
    <row r="23" spans="1:20" ht="15">
      <c r="A23" s="35">
        <v>3</v>
      </c>
      <c r="B23" s="31">
        <f>2240.8+306557.76</f>
        <v>308798.56</v>
      </c>
      <c r="C23" s="31">
        <f>146.7+33365.57</f>
        <v>33512.27</v>
      </c>
      <c r="D23" s="31">
        <f>38.6*(B23+C23)</f>
        <v>13213198.038</v>
      </c>
      <c r="E23" s="28">
        <f t="shared" si="1"/>
        <v>30926.49421098989</v>
      </c>
      <c r="F23" s="28">
        <f t="shared" si="2"/>
        <v>0.01430729016861343</v>
      </c>
      <c r="G23" s="30">
        <f t="shared" si="3"/>
        <v>0.10015103118029402</v>
      </c>
      <c r="H23" s="29">
        <f t="shared" si="4"/>
        <v>30926.49421098989</v>
      </c>
      <c r="I23" s="28">
        <f t="shared" si="5"/>
        <v>0.0903462336</v>
      </c>
      <c r="J23" s="28">
        <f t="shared" si="6"/>
        <v>27898.786837103617</v>
      </c>
      <c r="K23" s="28">
        <v>0.1035</v>
      </c>
      <c r="L23" s="28">
        <f t="shared" si="7"/>
        <v>31960.65096</v>
      </c>
      <c r="M23" s="28">
        <f t="shared" si="0"/>
        <v>0.014785714285714286</v>
      </c>
      <c r="N23" s="34"/>
      <c r="O23" s="26"/>
      <c r="P23" s="1"/>
      <c r="Q23" s="1"/>
      <c r="R23" s="1"/>
      <c r="S23" s="1"/>
      <c r="T23" s="1"/>
    </row>
    <row r="24" spans="1:20" ht="15">
      <c r="A24" s="36" t="s">
        <v>30</v>
      </c>
      <c r="B24" s="31">
        <f>72589.64+33157.94</f>
        <v>105747.58</v>
      </c>
      <c r="C24" s="31">
        <f>6087.6+2634.9</f>
        <v>8722.5</v>
      </c>
      <c r="D24" s="31">
        <f>36.2*(B24+C24)</f>
        <v>4143816.896</v>
      </c>
      <c r="E24" s="28">
        <f t="shared" si="1"/>
        <v>9698.918375172096</v>
      </c>
      <c r="F24" s="28">
        <f t="shared" si="2"/>
        <v>0.013102519867421343</v>
      </c>
      <c r="G24" s="30">
        <f t="shared" si="3"/>
        <v>0.09171763907194941</v>
      </c>
      <c r="H24" s="29">
        <f t="shared" si="4"/>
        <v>9698.918375172096</v>
      </c>
      <c r="I24" s="28">
        <f t="shared" si="5"/>
        <v>0.0847288512</v>
      </c>
      <c r="J24" s="28">
        <f t="shared" si="6"/>
        <v>8959.870970580096</v>
      </c>
      <c r="K24" s="28">
        <v>0.0916</v>
      </c>
      <c r="L24" s="28">
        <f t="shared" si="7"/>
        <v>9686.478328000001</v>
      </c>
      <c r="M24" s="28">
        <f t="shared" si="0"/>
        <v>0.013085714285714286</v>
      </c>
      <c r="N24" s="34"/>
      <c r="O24" s="26"/>
      <c r="P24" s="1"/>
      <c r="Q24" s="1"/>
      <c r="R24" s="1"/>
      <c r="S24" s="1"/>
      <c r="T24" s="1"/>
    </row>
    <row r="25" spans="1:20" ht="15">
      <c r="A25" s="36" t="s">
        <v>29</v>
      </c>
      <c r="B25" s="31">
        <f>11302.7+418640.64</f>
        <v>429943.34</v>
      </c>
      <c r="C25" s="31">
        <f>801.2+56456.9</f>
        <v>57258.1</v>
      </c>
      <c r="D25" s="31">
        <f>34.2*(B25+C25)</f>
        <v>16662289.248000002</v>
      </c>
      <c r="E25" s="28">
        <f t="shared" si="1"/>
        <v>38999.354318926846</v>
      </c>
      <c r="F25" s="28">
        <f t="shared" si="2"/>
        <v>0.012958303601761253</v>
      </c>
      <c r="G25" s="30">
        <f t="shared" si="3"/>
        <v>0.09070812521232877</v>
      </c>
      <c r="H25" s="29">
        <f t="shared" si="4"/>
        <v>38999.35431892684</v>
      </c>
      <c r="I25" s="28">
        <f t="shared" si="5"/>
        <v>0.08004769919999999</v>
      </c>
      <c r="J25" s="28">
        <f t="shared" si="6"/>
        <v>34415.975153363324</v>
      </c>
      <c r="K25" s="28">
        <v>0.0829</v>
      </c>
      <c r="L25" s="28">
        <f t="shared" si="7"/>
        <v>35642.302886000005</v>
      </c>
      <c r="M25" s="28">
        <f t="shared" si="0"/>
        <v>0.011842857142857143</v>
      </c>
      <c r="N25" s="34"/>
      <c r="O25" s="26"/>
      <c r="P25" s="1"/>
      <c r="Q25" s="1"/>
      <c r="R25" s="1"/>
      <c r="S25" s="1"/>
      <c r="T25" s="1"/>
    </row>
    <row r="26" spans="1:20" ht="15">
      <c r="A26" s="35">
        <v>8</v>
      </c>
      <c r="B26" s="31">
        <v>84032.93</v>
      </c>
      <c r="C26" s="31">
        <v>14350.24</v>
      </c>
      <c r="D26" s="31">
        <f>32.2*(B26+C26)</f>
        <v>3167938.074</v>
      </c>
      <c r="E26" s="28">
        <f t="shared" si="1"/>
        <v>7414.799825490623</v>
      </c>
      <c r="F26" s="28">
        <f t="shared" si="2"/>
        <v>0.01260526222193171</v>
      </c>
      <c r="G26" s="30">
        <f t="shared" si="3"/>
        <v>0.08823683555352196</v>
      </c>
      <c r="H26" s="29">
        <f t="shared" si="4"/>
        <v>7414.7998254906215</v>
      </c>
      <c r="I26" s="28">
        <f t="shared" si="5"/>
        <v>0.0753665472</v>
      </c>
      <c r="J26" s="28">
        <f t="shared" si="6"/>
        <v>6333.271785199295</v>
      </c>
      <c r="K26" s="28">
        <v>0.0817</v>
      </c>
      <c r="L26" s="28">
        <f t="shared" si="7"/>
        <v>6865.490380999999</v>
      </c>
      <c r="M26" s="28">
        <f t="shared" si="0"/>
        <v>0.01167142857142857</v>
      </c>
      <c r="N26" s="34"/>
      <c r="O26" s="26"/>
      <c r="P26" s="1"/>
      <c r="Q26" s="1"/>
      <c r="R26" s="1"/>
      <c r="S26" s="1"/>
      <c r="T26" s="1"/>
    </row>
    <row r="27" spans="1:20" ht="15">
      <c r="A27" s="33">
        <v>9</v>
      </c>
      <c r="B27" s="31">
        <v>45082.5</v>
      </c>
      <c r="C27" s="31">
        <v>6933.3</v>
      </c>
      <c r="D27" s="31">
        <f>31.2*(B27+C27)</f>
        <v>1622892.96</v>
      </c>
      <c r="E27" s="28">
        <f t="shared" si="1"/>
        <v>3798.50431274496</v>
      </c>
      <c r="F27" s="28">
        <f t="shared" si="2"/>
        <v>0.01203667660953319</v>
      </c>
      <c r="G27" s="30">
        <f t="shared" si="3"/>
        <v>0.08425673626673233</v>
      </c>
      <c r="H27" s="29">
        <f t="shared" si="4"/>
        <v>3798.5043127449603</v>
      </c>
      <c r="I27" s="28">
        <f t="shared" si="5"/>
        <v>0.0730259712</v>
      </c>
      <c r="J27" s="28">
        <f t="shared" si="6"/>
        <v>3292.193346624</v>
      </c>
      <c r="K27" s="28">
        <v>0.0849</v>
      </c>
      <c r="L27" s="28">
        <f t="shared" si="7"/>
        <v>3827.50425</v>
      </c>
      <c r="M27" s="28">
        <f t="shared" si="0"/>
        <v>0.01212857142857143</v>
      </c>
      <c r="N27" s="27"/>
      <c r="O27" s="26"/>
      <c r="P27" s="1"/>
      <c r="Q27" s="1"/>
      <c r="R27" s="1"/>
      <c r="S27" s="1"/>
      <c r="T27" s="1"/>
    </row>
    <row r="28" spans="1:20" ht="15">
      <c r="A28" s="33">
        <v>10</v>
      </c>
      <c r="B28" s="31"/>
      <c r="C28" s="31"/>
      <c r="D28" s="31"/>
      <c r="E28" s="28"/>
      <c r="F28" s="28"/>
      <c r="G28" s="30"/>
      <c r="H28" s="29"/>
      <c r="I28" s="28"/>
      <c r="J28" s="28"/>
      <c r="K28" s="28">
        <v>0.0733</v>
      </c>
      <c r="L28" s="28"/>
      <c r="M28" s="28">
        <f t="shared" si="0"/>
        <v>0.010471428571428573</v>
      </c>
      <c r="N28" s="27"/>
      <c r="O28" s="26"/>
      <c r="P28" s="1"/>
      <c r="Q28" s="1"/>
      <c r="R28" s="1"/>
      <c r="S28" s="1"/>
      <c r="T28" s="1"/>
    </row>
    <row r="29" spans="1:20" ht="15">
      <c r="A29" s="33">
        <v>11</v>
      </c>
      <c r="B29" s="31"/>
      <c r="C29" s="31"/>
      <c r="D29" s="31"/>
      <c r="E29" s="28"/>
      <c r="F29" s="28"/>
      <c r="G29" s="30"/>
      <c r="H29" s="29"/>
      <c r="I29" s="28"/>
      <c r="J29" s="28"/>
      <c r="K29" s="28">
        <v>0.0863</v>
      </c>
      <c r="L29" s="28"/>
      <c r="M29" s="28">
        <f t="shared" si="0"/>
        <v>0.012328571428571428</v>
      </c>
      <c r="N29" s="27"/>
      <c r="O29" s="26"/>
      <c r="P29" s="1"/>
      <c r="Q29" s="1"/>
      <c r="R29" s="1"/>
      <c r="S29" s="1"/>
      <c r="T29" s="1"/>
    </row>
    <row r="30" spans="1:20" ht="26.25">
      <c r="A30" s="33" t="s">
        <v>28</v>
      </c>
      <c r="B30" s="31"/>
      <c r="C30" s="31"/>
      <c r="D30" s="31"/>
      <c r="E30" s="28"/>
      <c r="F30" s="28"/>
      <c r="G30" s="30"/>
      <c r="H30" s="29"/>
      <c r="I30" s="28"/>
      <c r="J30" s="28"/>
      <c r="K30" s="28">
        <v>0.0778</v>
      </c>
      <c r="L30" s="28"/>
      <c r="M30" s="28">
        <f t="shared" si="0"/>
        <v>0.011114285714285714</v>
      </c>
      <c r="N30" s="27"/>
      <c r="O30" s="26"/>
      <c r="P30" s="1"/>
      <c r="Q30" s="1"/>
      <c r="R30" s="1"/>
      <c r="S30" s="1"/>
      <c r="T30" s="1"/>
    </row>
    <row r="31" spans="1:20" ht="15">
      <c r="A31" s="32" t="s">
        <v>27</v>
      </c>
      <c r="B31" s="31"/>
      <c r="C31" s="31"/>
      <c r="D31" s="31"/>
      <c r="E31" s="28"/>
      <c r="F31" s="28"/>
      <c r="G31" s="30"/>
      <c r="H31" s="29"/>
      <c r="I31" s="28"/>
      <c r="J31" s="28"/>
      <c r="K31" s="28"/>
      <c r="L31" s="28"/>
      <c r="M31" s="28"/>
      <c r="N31" s="27"/>
      <c r="O31" s="26"/>
      <c r="P31" s="1"/>
      <c r="Q31" s="1"/>
      <c r="R31" s="1"/>
      <c r="S31" s="1"/>
      <c r="T31" s="1"/>
    </row>
  </sheetData>
  <sheetProtection/>
  <mergeCells count="17">
    <mergeCell ref="A8:T8"/>
    <mergeCell ref="A20:T20"/>
    <mergeCell ref="K5:M5"/>
    <mergeCell ref="N5:N6"/>
    <mergeCell ref="O5:P5"/>
    <mergeCell ref="Q5:Q6"/>
    <mergeCell ref="R5:S5"/>
    <mergeCell ref="T5:T6"/>
    <mergeCell ref="K2:S2"/>
    <mergeCell ref="A4:L4"/>
    <mergeCell ref="A5:A6"/>
    <mergeCell ref="B5:B6"/>
    <mergeCell ref="C5:C6"/>
    <mergeCell ref="D5:D6"/>
    <mergeCell ref="E5:E6"/>
    <mergeCell ref="F5:H5"/>
    <mergeCell ref="I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36"/>
  <sheetViews>
    <sheetView zoomScalePageLayoutView="0" workbookViewId="0" topLeftCell="D2">
      <selection activeCell="E22" sqref="E22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17.140625" style="0" customWidth="1"/>
    <col min="4" max="4" width="19.28125" style="0" customWidth="1"/>
    <col min="5" max="5" width="15.7109375" style="0" customWidth="1"/>
    <col min="6" max="6" width="12.7109375" style="0" customWidth="1"/>
    <col min="7" max="7" width="16.00390625" style="0" customWidth="1"/>
    <col min="8" max="8" width="22.28125" style="0" customWidth="1"/>
    <col min="9" max="9" width="25.28125" style="0" customWidth="1"/>
    <col min="17" max="17" width="12.28125" style="0" customWidth="1"/>
    <col min="18" max="18" width="13.140625" style="0" customWidth="1"/>
    <col min="19" max="19" width="36.57421875" style="0" customWidth="1"/>
    <col min="20" max="20" width="43.00390625" style="0" customWidth="1"/>
  </cols>
  <sheetData>
    <row r="1" ht="17.25">
      <c r="I1" s="18" t="s">
        <v>12</v>
      </c>
    </row>
    <row r="2" ht="17.25">
      <c r="I2" s="17"/>
    </row>
    <row r="4" spans="3:9" ht="17.25">
      <c r="C4" s="206" t="s">
        <v>11</v>
      </c>
      <c r="D4" s="182"/>
      <c r="E4" s="182"/>
      <c r="F4" s="182"/>
      <c r="G4" s="182"/>
      <c r="H4" s="182"/>
      <c r="I4" s="182"/>
    </row>
    <row r="5" spans="9:20" ht="15">
      <c r="I5" s="8" t="s">
        <v>5</v>
      </c>
      <c r="M5" s="10"/>
      <c r="N5" s="10"/>
      <c r="O5" s="10"/>
      <c r="P5" s="10"/>
      <c r="Q5" s="10"/>
      <c r="R5" s="10"/>
      <c r="S5" s="10"/>
      <c r="T5" s="10"/>
    </row>
    <row r="6" spans="2:20" ht="19.5" customHeight="1">
      <c r="B6" s="209" t="s">
        <v>399</v>
      </c>
      <c r="C6" s="210"/>
      <c r="D6" s="210"/>
      <c r="E6" s="210"/>
      <c r="F6" s="210"/>
      <c r="G6" s="210"/>
      <c r="H6" s="210"/>
      <c r="I6" s="211"/>
      <c r="M6" s="203"/>
      <c r="N6" s="203"/>
      <c r="O6" s="203"/>
      <c r="P6" s="203"/>
      <c r="Q6" s="203"/>
      <c r="R6" s="203"/>
      <c r="S6" s="203"/>
      <c r="T6" s="203"/>
    </row>
    <row r="7" spans="2:20" ht="23.25" customHeight="1">
      <c r="B7" s="215" t="s">
        <v>0</v>
      </c>
      <c r="C7" s="212" t="s">
        <v>2</v>
      </c>
      <c r="D7" s="213"/>
      <c r="E7" s="214"/>
      <c r="F7" s="201" t="s">
        <v>8</v>
      </c>
      <c r="G7" s="201" t="s">
        <v>9</v>
      </c>
      <c r="H7" s="201" t="s">
        <v>10</v>
      </c>
      <c r="I7" s="201" t="s">
        <v>6</v>
      </c>
      <c r="M7" s="11"/>
      <c r="N7" s="11"/>
      <c r="O7" s="11"/>
      <c r="P7" s="11"/>
      <c r="Q7" s="11"/>
      <c r="R7" s="11"/>
      <c r="S7" s="11"/>
      <c r="T7" s="11"/>
    </row>
    <row r="8" spans="2:20" ht="82.5" customHeight="1">
      <c r="B8" s="216"/>
      <c r="C8" s="5" t="s">
        <v>3</v>
      </c>
      <c r="D8" s="6" t="s">
        <v>4</v>
      </c>
      <c r="E8" s="5" t="s">
        <v>7</v>
      </c>
      <c r="F8" s="202"/>
      <c r="G8" s="202"/>
      <c r="H8" s="202"/>
      <c r="I8" s="202"/>
      <c r="M8" s="12"/>
      <c r="N8" s="10"/>
      <c r="O8" s="10"/>
      <c r="P8" s="10"/>
      <c r="Q8" s="10"/>
      <c r="R8" s="10"/>
      <c r="S8" s="10"/>
      <c r="T8" s="10"/>
    </row>
    <row r="9" spans="2:20" ht="13.5" customHeight="1">
      <c r="B9" s="9">
        <v>1</v>
      </c>
      <c r="C9" s="5">
        <v>2</v>
      </c>
      <c r="D9" s="5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M9" s="12"/>
      <c r="N9" s="10"/>
      <c r="O9" s="10"/>
      <c r="P9" s="10"/>
      <c r="Q9" s="10"/>
      <c r="R9" s="10"/>
      <c r="S9" s="10"/>
      <c r="T9" s="10"/>
    </row>
    <row r="10" spans="2:20" ht="15">
      <c r="B10" s="3">
        <v>1</v>
      </c>
      <c r="C10" s="2">
        <v>400</v>
      </c>
      <c r="D10" s="2">
        <v>1.73</v>
      </c>
      <c r="E10" s="2">
        <f>C10*D10</f>
        <v>692</v>
      </c>
      <c r="F10" s="1"/>
      <c r="G10" s="1"/>
      <c r="H10" s="1"/>
      <c r="I10" s="1"/>
      <c r="M10" s="13"/>
      <c r="N10" s="13"/>
      <c r="O10" s="13"/>
      <c r="P10" s="13"/>
      <c r="Q10" s="13"/>
      <c r="R10" s="13"/>
      <c r="S10" s="13"/>
      <c r="T10" s="13"/>
    </row>
    <row r="11" spans="2:20" ht="15">
      <c r="B11" s="3">
        <v>2</v>
      </c>
      <c r="C11" s="2">
        <v>550</v>
      </c>
      <c r="D11" s="2">
        <v>3.14</v>
      </c>
      <c r="E11" s="2">
        <f>C11*D11</f>
        <v>1727</v>
      </c>
      <c r="F11" s="1"/>
      <c r="G11" s="1"/>
      <c r="H11" s="1"/>
      <c r="I11" s="1"/>
      <c r="M11" s="13"/>
      <c r="N11" s="13"/>
      <c r="O11" s="13"/>
      <c r="P11" s="13"/>
      <c r="Q11" s="13"/>
      <c r="R11" s="13"/>
      <c r="S11" s="13"/>
      <c r="T11" s="13"/>
    </row>
    <row r="12" spans="2:20" ht="15">
      <c r="B12" s="3">
        <v>3</v>
      </c>
      <c r="C12" s="2">
        <v>0</v>
      </c>
      <c r="D12" s="2">
        <v>0</v>
      </c>
      <c r="E12" s="2">
        <f>C12*D12</f>
        <v>0</v>
      </c>
      <c r="F12" s="1"/>
      <c r="G12" s="1"/>
      <c r="H12" s="1"/>
      <c r="I12" s="1"/>
      <c r="M12" s="13"/>
      <c r="N12" s="13"/>
      <c r="O12" s="13"/>
      <c r="P12" s="13"/>
      <c r="Q12" s="13"/>
      <c r="R12" s="13"/>
      <c r="S12" s="13"/>
      <c r="T12" s="13"/>
    </row>
    <row r="13" spans="2:20" ht="20.25" customHeight="1">
      <c r="B13" s="3">
        <v>4</v>
      </c>
      <c r="C13" s="2">
        <v>0</v>
      </c>
      <c r="D13" s="2">
        <v>0</v>
      </c>
      <c r="E13" s="2">
        <f>C13*D13</f>
        <v>0</v>
      </c>
      <c r="F13" s="1"/>
      <c r="G13" s="1"/>
      <c r="H13" s="1"/>
      <c r="I13" s="1"/>
      <c r="M13" s="14"/>
      <c r="N13" s="13"/>
      <c r="O13" s="13"/>
      <c r="P13" s="13"/>
      <c r="Q13" s="13"/>
      <c r="R13" s="13"/>
      <c r="S13" s="13"/>
      <c r="T13" s="13"/>
    </row>
    <row r="14" spans="2:20" ht="23.25" customHeight="1">
      <c r="B14" s="4" t="s">
        <v>1</v>
      </c>
      <c r="C14" s="2"/>
      <c r="D14" s="2">
        <f>SUM(D10:D13)</f>
        <v>4.87</v>
      </c>
      <c r="E14" s="2">
        <f>SUM(E10:E13)</f>
        <v>2419</v>
      </c>
      <c r="F14" s="16">
        <f>E14/D14</f>
        <v>496.71457905544145</v>
      </c>
      <c r="G14" s="2">
        <f>11*D14</f>
        <v>53.57</v>
      </c>
      <c r="H14" s="2">
        <f>(F14-100)*0.06*D14</f>
        <v>115.92</v>
      </c>
      <c r="I14" s="2">
        <f>G14+H14</f>
        <v>169.49</v>
      </c>
      <c r="M14" s="10"/>
      <c r="N14" s="10"/>
      <c r="O14" s="10"/>
      <c r="P14" s="10"/>
      <c r="Q14" s="10"/>
      <c r="R14" s="10"/>
      <c r="S14" s="10"/>
      <c r="T14" s="10"/>
    </row>
    <row r="15" spans="2:20" ht="19.5" customHeight="1">
      <c r="B15" s="15"/>
      <c r="C15" s="13"/>
      <c r="D15" s="13"/>
      <c r="E15" s="13"/>
      <c r="F15" s="13"/>
      <c r="G15" s="13"/>
      <c r="H15" s="13"/>
      <c r="I15" s="13"/>
      <c r="M15" s="10"/>
      <c r="N15" s="10"/>
      <c r="O15" s="10"/>
      <c r="P15" s="10"/>
      <c r="Q15" s="10"/>
      <c r="R15" s="10"/>
      <c r="S15" s="10"/>
      <c r="T15" s="10"/>
    </row>
    <row r="16" spans="2:20" ht="19.5" customHeight="1">
      <c r="B16" s="10"/>
      <c r="C16" s="10"/>
      <c r="D16" s="10"/>
      <c r="E16" s="10"/>
      <c r="F16" s="10"/>
      <c r="G16" s="10"/>
      <c r="H16" s="10"/>
      <c r="I16" s="148"/>
      <c r="M16" s="10"/>
      <c r="N16" s="10"/>
      <c r="O16" s="10"/>
      <c r="P16" s="10"/>
      <c r="Q16" s="10"/>
      <c r="R16" s="10"/>
      <c r="S16" s="10"/>
      <c r="T16" s="10"/>
    </row>
    <row r="17" spans="2:20" ht="21.75" customHeight="1">
      <c r="B17" s="207"/>
      <c r="C17" s="207"/>
      <c r="D17" s="207"/>
      <c r="E17" s="207"/>
      <c r="F17" s="207"/>
      <c r="G17" s="207"/>
      <c r="H17" s="207"/>
      <c r="I17" s="207"/>
      <c r="M17" s="10"/>
      <c r="N17" s="10"/>
      <c r="O17" s="10"/>
      <c r="P17" s="10"/>
      <c r="Q17" s="10"/>
      <c r="R17" s="10"/>
      <c r="S17" s="10"/>
      <c r="T17" s="10"/>
    </row>
    <row r="18" spans="2:20" ht="27" customHeight="1">
      <c r="B18" s="208"/>
      <c r="C18" s="204"/>
      <c r="D18" s="204"/>
      <c r="E18" s="204"/>
      <c r="F18" s="204"/>
      <c r="G18" s="204"/>
      <c r="H18" s="204"/>
      <c r="I18" s="204"/>
      <c r="M18" s="10"/>
      <c r="N18" s="10"/>
      <c r="O18" s="10"/>
      <c r="P18" s="10"/>
      <c r="Q18" s="10"/>
      <c r="R18" s="10"/>
      <c r="S18" s="10"/>
      <c r="T18" s="10"/>
    </row>
    <row r="19" spans="2:20" ht="84.75" customHeight="1">
      <c r="B19" s="208"/>
      <c r="C19" s="149"/>
      <c r="D19" s="150"/>
      <c r="E19" s="149"/>
      <c r="F19" s="204"/>
      <c r="G19" s="204"/>
      <c r="H19" s="204"/>
      <c r="I19" s="204"/>
      <c r="M19" s="10"/>
      <c r="N19" s="10"/>
      <c r="O19" s="10"/>
      <c r="P19" s="10"/>
      <c r="Q19" s="10"/>
      <c r="R19" s="10"/>
      <c r="S19" s="10"/>
      <c r="T19" s="10"/>
    </row>
    <row r="20" spans="2:20" ht="17.25" customHeight="1">
      <c r="B20" s="151"/>
      <c r="C20" s="149"/>
      <c r="D20" s="149"/>
      <c r="E20" s="151"/>
      <c r="F20" s="151"/>
      <c r="G20" s="151"/>
      <c r="H20" s="151"/>
      <c r="I20" s="151"/>
      <c r="M20" s="10"/>
      <c r="N20" s="10"/>
      <c r="O20" s="10"/>
      <c r="P20" s="10"/>
      <c r="Q20" s="10"/>
      <c r="R20" s="10"/>
      <c r="S20" s="10"/>
      <c r="T20" s="10"/>
    </row>
    <row r="21" spans="2:20" ht="21" customHeight="1">
      <c r="B21" s="144"/>
      <c r="C21" s="13"/>
      <c r="D21" s="13"/>
      <c r="E21" s="13"/>
      <c r="F21" s="10"/>
      <c r="G21" s="10"/>
      <c r="H21" s="10"/>
      <c r="I21" s="10"/>
      <c r="M21" s="10"/>
      <c r="N21" s="10"/>
      <c r="O21" s="10"/>
      <c r="P21" s="10"/>
      <c r="Q21" s="10"/>
      <c r="R21" s="10"/>
      <c r="S21" s="10"/>
      <c r="T21" s="10"/>
    </row>
    <row r="22" spans="2:20" ht="18" customHeight="1">
      <c r="B22" s="144"/>
      <c r="C22" s="13"/>
      <c r="D22" s="13"/>
      <c r="E22" s="13"/>
      <c r="F22" s="10"/>
      <c r="G22" s="10"/>
      <c r="H22" s="10"/>
      <c r="I22" s="10"/>
      <c r="M22" s="10"/>
      <c r="N22" s="10"/>
      <c r="O22" s="10"/>
      <c r="P22" s="10"/>
      <c r="Q22" s="10"/>
      <c r="R22" s="10"/>
      <c r="S22" s="10"/>
      <c r="T22" s="10"/>
    </row>
    <row r="23" spans="2:20" ht="17.25" customHeight="1">
      <c r="B23" s="144"/>
      <c r="C23" s="13"/>
      <c r="D23" s="13"/>
      <c r="E23" s="13"/>
      <c r="F23" s="10"/>
      <c r="G23" s="10"/>
      <c r="H23" s="10"/>
      <c r="I23" s="10"/>
      <c r="M23" s="10"/>
      <c r="N23" s="10"/>
      <c r="O23" s="10"/>
      <c r="P23" s="10"/>
      <c r="Q23" s="10"/>
      <c r="R23" s="10"/>
      <c r="S23" s="10"/>
      <c r="T23" s="10"/>
    </row>
    <row r="24" spans="2:20" ht="22.5" customHeight="1">
      <c r="B24" s="15"/>
      <c r="C24" s="13"/>
      <c r="D24" s="13"/>
      <c r="E24" s="13"/>
      <c r="F24" s="152"/>
      <c r="G24" s="13"/>
      <c r="H24" s="13"/>
      <c r="I24" s="13"/>
      <c r="M24" s="10"/>
      <c r="N24" s="10"/>
      <c r="O24" s="10"/>
      <c r="P24" s="10"/>
      <c r="Q24" s="10"/>
      <c r="R24" s="10"/>
      <c r="S24" s="10"/>
      <c r="T24" s="10"/>
    </row>
    <row r="25" spans="2:20" ht="17.25" customHeight="1">
      <c r="B25" s="15"/>
      <c r="C25" s="13"/>
      <c r="D25" s="13"/>
      <c r="E25" s="13"/>
      <c r="F25" s="13"/>
      <c r="G25" s="13"/>
      <c r="H25" s="13"/>
      <c r="I25" s="13"/>
      <c r="M25" s="10"/>
      <c r="N25" s="10"/>
      <c r="O25" s="10"/>
      <c r="P25" s="10"/>
      <c r="Q25" s="10"/>
      <c r="R25" s="10"/>
      <c r="S25" s="10"/>
      <c r="T25" s="10"/>
    </row>
    <row r="26" spans="2:9" ht="23.25" customHeight="1">
      <c r="B26" s="10"/>
      <c r="C26" s="153"/>
      <c r="D26" s="154"/>
      <c r="E26" s="154"/>
      <c r="F26" s="154"/>
      <c r="G26" s="154"/>
      <c r="H26" s="154"/>
      <c r="I26" s="154"/>
    </row>
    <row r="27" spans="2:9" ht="30" customHeight="1">
      <c r="B27" s="10"/>
      <c r="C27" s="200"/>
      <c r="D27" s="200"/>
      <c r="E27" s="200"/>
      <c r="F27" s="200"/>
      <c r="G27" s="200"/>
      <c r="H27" s="200"/>
      <c r="I27" s="200"/>
    </row>
    <row r="28" spans="2:9" ht="95.25" customHeight="1">
      <c r="B28" s="10"/>
      <c r="C28" s="200"/>
      <c r="D28" s="200"/>
      <c r="E28" s="200"/>
      <c r="F28" s="200"/>
      <c r="G28" s="200"/>
      <c r="H28" s="200"/>
      <c r="I28" s="200"/>
    </row>
    <row r="29" spans="2:9" ht="112.5" customHeight="1">
      <c r="B29" s="10"/>
      <c r="C29" s="200"/>
      <c r="D29" s="205"/>
      <c r="E29" s="205"/>
      <c r="F29" s="205"/>
      <c r="G29" s="205"/>
      <c r="H29" s="205"/>
      <c r="I29" s="205"/>
    </row>
    <row r="30" spans="2:9" ht="108" customHeight="1">
      <c r="B30" s="10"/>
      <c r="C30" s="200"/>
      <c r="D30" s="200"/>
      <c r="E30" s="200"/>
      <c r="F30" s="200"/>
      <c r="G30" s="200"/>
      <c r="H30" s="200"/>
      <c r="I30" s="200"/>
    </row>
    <row r="31" spans="2:9" ht="162" customHeight="1">
      <c r="B31" s="10"/>
      <c r="C31" s="200"/>
      <c r="D31" s="200"/>
      <c r="E31" s="200"/>
      <c r="F31" s="200"/>
      <c r="G31" s="200"/>
      <c r="H31" s="200"/>
      <c r="I31" s="200"/>
    </row>
    <row r="32" spans="2:9" ht="24" customHeight="1">
      <c r="B32" s="10"/>
      <c r="C32" s="203"/>
      <c r="D32" s="203"/>
      <c r="E32" s="203"/>
      <c r="F32" s="203"/>
      <c r="G32" s="203"/>
      <c r="H32" s="203"/>
      <c r="I32" s="203"/>
    </row>
    <row r="33" spans="2:9" ht="15">
      <c r="B33" s="10"/>
      <c r="C33" s="10"/>
      <c r="D33" s="10"/>
      <c r="E33" s="10"/>
      <c r="F33" s="10"/>
      <c r="G33" s="10"/>
      <c r="H33" s="10"/>
      <c r="I33" s="10"/>
    </row>
    <row r="34" spans="2:9" ht="15">
      <c r="B34" s="10"/>
      <c r="C34" s="10"/>
      <c r="D34" s="10"/>
      <c r="E34" s="10"/>
      <c r="F34" s="10"/>
      <c r="G34" s="10"/>
      <c r="H34" s="10"/>
      <c r="I34" s="10"/>
    </row>
    <row r="35" spans="2:9" ht="15">
      <c r="B35" s="10"/>
      <c r="C35" s="10"/>
      <c r="D35" s="10"/>
      <c r="E35" s="10"/>
      <c r="F35" s="10"/>
      <c r="G35" s="10"/>
      <c r="H35" s="10"/>
      <c r="I35" s="10"/>
    </row>
    <row r="36" spans="2:9" ht="15">
      <c r="B36" s="10"/>
      <c r="C36" s="10"/>
      <c r="D36" s="10"/>
      <c r="E36" s="10"/>
      <c r="F36" s="10"/>
      <c r="G36" s="10"/>
      <c r="H36" s="10"/>
      <c r="I36" s="10"/>
    </row>
  </sheetData>
  <sheetProtection/>
  <mergeCells count="22">
    <mergeCell ref="M6:T6"/>
    <mergeCell ref="C7:E7"/>
    <mergeCell ref="B7:B8"/>
    <mergeCell ref="F7:F8"/>
    <mergeCell ref="G7:G8"/>
    <mergeCell ref="C28:I28"/>
    <mergeCell ref="C29:I29"/>
    <mergeCell ref="C4:I4"/>
    <mergeCell ref="B17:I17"/>
    <mergeCell ref="B18:B19"/>
    <mergeCell ref="C18:E18"/>
    <mergeCell ref="B6:I6"/>
    <mergeCell ref="C30:I30"/>
    <mergeCell ref="C31:I31"/>
    <mergeCell ref="H7:H8"/>
    <mergeCell ref="I7:I8"/>
    <mergeCell ref="C32:I32"/>
    <mergeCell ref="F18:F19"/>
    <mergeCell ref="G18:G19"/>
    <mergeCell ref="H18:H19"/>
    <mergeCell ref="I18:I19"/>
    <mergeCell ref="C27:I27"/>
  </mergeCells>
  <printOptions/>
  <pageMargins left="0.984251968503937" right="0" top="0" bottom="0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0">
      <selection activeCell="B11" sqref="B11"/>
    </sheetView>
  </sheetViews>
  <sheetFormatPr defaultColWidth="9.140625" defaultRowHeight="15"/>
  <cols>
    <col min="2" max="2" width="60.421875" style="0" customWidth="1"/>
    <col min="3" max="4" width="26.28125" style="0" customWidth="1"/>
  </cols>
  <sheetData>
    <row r="1" ht="17.25">
      <c r="D1" s="18" t="s">
        <v>25</v>
      </c>
    </row>
    <row r="3" ht="15.75" customHeight="1"/>
    <row r="4" spans="2:4" ht="45.75" customHeight="1">
      <c r="B4" s="217" t="s">
        <v>26</v>
      </c>
      <c r="C4" s="217"/>
      <c r="D4" s="217"/>
    </row>
    <row r="5" spans="2:4" ht="16.5">
      <c r="B5" s="19"/>
      <c r="C5" s="19"/>
      <c r="D5" s="19"/>
    </row>
    <row r="6" spans="2:4" ht="57.75" customHeight="1">
      <c r="B6" s="20" t="s">
        <v>13</v>
      </c>
      <c r="C6" s="20" t="s">
        <v>14</v>
      </c>
      <c r="D6" s="21" t="s">
        <v>15</v>
      </c>
    </row>
    <row r="7" spans="2:4" ht="115.5">
      <c r="B7" s="22" t="s">
        <v>22</v>
      </c>
      <c r="C7" s="23" t="s">
        <v>23</v>
      </c>
      <c r="D7" s="23" t="s">
        <v>400</v>
      </c>
    </row>
    <row r="8" spans="2:4" ht="26.25" customHeight="1">
      <c r="B8" s="24" t="s">
        <v>16</v>
      </c>
      <c r="C8" s="20" t="s">
        <v>17</v>
      </c>
      <c r="D8" s="20">
        <v>0</v>
      </c>
    </row>
    <row r="9" spans="2:4" ht="30" customHeight="1">
      <c r="B9" s="24" t="s">
        <v>18</v>
      </c>
      <c r="C9" s="20" t="s">
        <v>19</v>
      </c>
      <c r="D9" s="20">
        <v>0</v>
      </c>
    </row>
    <row r="10" spans="2:4" ht="40.5" customHeight="1">
      <c r="B10" s="22" t="s">
        <v>20</v>
      </c>
      <c r="C10" s="20" t="s">
        <v>21</v>
      </c>
      <c r="D10" s="20">
        <v>13.52</v>
      </c>
    </row>
    <row r="11" spans="2:4" ht="17.25">
      <c r="B11" s="17"/>
      <c r="C11" s="17"/>
      <c r="D11" s="17"/>
    </row>
    <row r="12" spans="1:4" ht="16.5" customHeight="1">
      <c r="A12" s="220"/>
      <c r="B12" s="218" t="s">
        <v>24</v>
      </c>
      <c r="C12" s="219"/>
      <c r="D12" s="219"/>
    </row>
    <row r="13" spans="1:4" ht="15">
      <c r="A13" s="220"/>
      <c r="B13" s="219"/>
      <c r="C13" s="219"/>
      <c r="D13" s="219"/>
    </row>
    <row r="14" spans="1:4" ht="15">
      <c r="A14" s="220"/>
      <c r="B14" s="219"/>
      <c r="C14" s="219"/>
      <c r="D14" s="219"/>
    </row>
    <row r="15" spans="1:4" ht="15">
      <c r="A15" s="220"/>
      <c r="B15" s="219"/>
      <c r="C15" s="219"/>
      <c r="D15" s="219"/>
    </row>
    <row r="16" spans="1:4" ht="15">
      <c r="A16" s="220"/>
      <c r="B16" s="219"/>
      <c r="C16" s="219"/>
      <c r="D16" s="219"/>
    </row>
    <row r="17" spans="1:4" ht="15">
      <c r="A17" s="220"/>
      <c r="B17" s="219"/>
      <c r="C17" s="219"/>
      <c r="D17" s="219"/>
    </row>
    <row r="18" spans="1:4" ht="59.25" customHeight="1">
      <c r="A18" s="220"/>
      <c r="B18" s="219"/>
      <c r="C18" s="219"/>
      <c r="D18" s="219"/>
    </row>
  </sheetData>
  <sheetProtection/>
  <mergeCells count="3">
    <mergeCell ref="B4:D4"/>
    <mergeCell ref="B12:D18"/>
    <mergeCell ref="A12:A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2016-04-18T07:01:54Z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</vt:lpwstr>
  </property>
  <property fmtid="{D5CDD505-2E9C-101B-9397-08002B2CF9AE}" pid="3" name="Version">
    <vt:lpwstr>MTR.SM.WARM.2017.PLAN</vt:lpwstr>
  </property>
  <property fmtid="{D5CDD505-2E9C-101B-9397-08002B2CF9AE}" pid="4" name="Periodicity">
    <vt:lpwstr>REGU</vt:lpwstr>
  </property>
  <property fmtid="{D5CDD505-2E9C-101B-9397-08002B2CF9AE}" pid="5" name="TypePlanning">
    <vt:lpwstr>PLAN</vt:lpwstr>
  </property>
</Properties>
</file>